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63FB3F8-5EF6-4166-BF41-818CD08A8ED2}" xr6:coauthVersionLast="33" xr6:coauthVersionMax="33" xr10:uidLastSave="{00000000-0000-0000-0000-000000000000}"/>
  <bookViews>
    <workbookView xWindow="0" yWindow="0" windowWidth="20490" windowHeight="7545" tabRatio="791" firstSheet="10" activeTab="12" xr2:uid="{00000000-000D-0000-FFFF-FFFF00000000}"/>
  </bookViews>
  <sheets>
    <sheet name="DATOS" sheetId="1" r:id="rId1"/>
    <sheet name="Características Aerodinámicas" sheetId="18" r:id="rId2"/>
    <sheet name="POLAR" sheetId="4" r:id="rId3"/>
    <sheet name="EDisponible" sheetId="2" r:id="rId4"/>
    <sheet name="ENecesario(W1)" sheetId="3" r:id="rId5"/>
    <sheet name="ENecesario(W2)" sheetId="10" r:id="rId6"/>
    <sheet name="ENecesario(W3)" sheetId="12" r:id="rId7"/>
    <sheet name="Envolvente " sheetId="9" r:id="rId8"/>
    <sheet name="Empujes(W1)" sheetId="7" r:id="rId9"/>
    <sheet name="Empujes(W2)" sheetId="11" r:id="rId10"/>
    <sheet name="Empujes(W3)" sheetId="15" r:id="rId11"/>
    <sheet name="Altura-Vs" sheetId="16" r:id="rId12"/>
    <sheet name="Tiempo de subida mínimo" sheetId="17" r:id="rId13"/>
    <sheet name="Viraje horizontal" sheetId="19" r:id="rId14"/>
    <sheet name="AutonomiaAlcance" sheetId="20" r:id="rId15"/>
    <sheet name="Aterrizaje y despeg" sheetId="23" r:id="rId16"/>
    <sheet name="ESTABILIDAD" sheetId="22" r:id="rId17"/>
  </sheets>
  <externalReferences>
    <externalReference r:id="rId18"/>
    <externalReference r:id="rId19"/>
    <externalReference r:id="rId20"/>
  </externalReferences>
  <calcPr calcId="179017"/>
</workbook>
</file>

<file path=xl/calcChain.xml><?xml version="1.0" encoding="utf-8"?>
<calcChain xmlns="http://schemas.openxmlformats.org/spreadsheetml/2006/main">
  <c r="C33" i="17" l="1"/>
  <c r="C34" i="17"/>
  <c r="C35" i="17"/>
  <c r="C36" i="17"/>
  <c r="C37" i="17"/>
  <c r="C38" i="17"/>
  <c r="C32" i="17"/>
  <c r="D22" i="17"/>
  <c r="D23" i="17"/>
  <c r="D24" i="17"/>
  <c r="D25" i="17"/>
  <c r="D26" i="17"/>
  <c r="D27" i="17"/>
  <c r="D28" i="17"/>
  <c r="D29" i="17"/>
  <c r="I10" i="17"/>
  <c r="C22" i="17"/>
  <c r="C23" i="17"/>
  <c r="C24" i="17"/>
  <c r="C25" i="17"/>
  <c r="C26" i="17"/>
  <c r="C27" i="17"/>
  <c r="C21" i="17"/>
  <c r="F10" i="17"/>
  <c r="W6" i="9" l="1"/>
  <c r="X7" i="9"/>
  <c r="W10" i="9"/>
  <c r="V3" i="9"/>
  <c r="O6" i="9"/>
  <c r="P7" i="9"/>
  <c r="O10" i="9"/>
  <c r="N3" i="9"/>
  <c r="H4" i="9"/>
  <c r="G4" i="9" s="1"/>
  <c r="H5" i="9"/>
  <c r="F5" i="9" s="1"/>
  <c r="H6" i="9"/>
  <c r="G6" i="9" s="1"/>
  <c r="H7" i="9"/>
  <c r="F7" i="9" s="1"/>
  <c r="H8" i="9"/>
  <c r="G8" i="9" s="1"/>
  <c r="H9" i="9"/>
  <c r="F9" i="9" s="1"/>
  <c r="H10" i="9"/>
  <c r="G10" i="9" s="1"/>
  <c r="H3" i="9"/>
  <c r="G3" i="9" s="1"/>
  <c r="O3" i="9" l="1"/>
  <c r="N10" i="9"/>
  <c r="P8" i="9"/>
  <c r="O7" i="9"/>
  <c r="N6" i="9"/>
  <c r="P4" i="9"/>
  <c r="W3" i="9"/>
  <c r="V10" i="9"/>
  <c r="X8" i="9"/>
  <c r="W7" i="9"/>
  <c r="V6" i="9"/>
  <c r="X4" i="9"/>
  <c r="N5" i="9"/>
  <c r="V9" i="9"/>
  <c r="F10" i="9"/>
  <c r="P3" i="9"/>
  <c r="P9" i="9"/>
  <c r="O8" i="9"/>
  <c r="N7" i="9"/>
  <c r="P5" i="9"/>
  <c r="O4" i="9"/>
  <c r="X3" i="9"/>
  <c r="X9" i="9"/>
  <c r="W8" i="9"/>
  <c r="V7" i="9"/>
  <c r="X5" i="9"/>
  <c r="W4" i="9"/>
  <c r="N9" i="9"/>
  <c r="V5" i="9"/>
  <c r="F6" i="9"/>
  <c r="P10" i="9"/>
  <c r="O9" i="9"/>
  <c r="N8" i="9"/>
  <c r="P6" i="9"/>
  <c r="O5" i="9"/>
  <c r="N4" i="9"/>
  <c r="X10" i="9"/>
  <c r="W9" i="9"/>
  <c r="V8" i="9"/>
  <c r="X6" i="9"/>
  <c r="W5" i="9"/>
  <c r="V4" i="9"/>
  <c r="E3" i="9"/>
  <c r="E7" i="9"/>
  <c r="F3" i="9"/>
  <c r="F8" i="9"/>
  <c r="F4" i="9"/>
  <c r="G7" i="9"/>
  <c r="E9" i="9"/>
  <c r="E5" i="9"/>
  <c r="E10" i="9"/>
  <c r="E6" i="9"/>
  <c r="G9" i="9"/>
  <c r="G5" i="9"/>
  <c r="E8" i="9"/>
  <c r="E4" i="9"/>
  <c r="A13" i="4" l="1"/>
  <c r="E5" i="23" l="1"/>
  <c r="B17" i="23"/>
  <c r="B5" i="23"/>
  <c r="E1" i="23" s="1"/>
  <c r="E2" i="23" s="1"/>
  <c r="E13" i="23" l="1"/>
  <c r="E14" i="23" s="1"/>
  <c r="H2" i="23"/>
  <c r="H1" i="23"/>
  <c r="L2" i="22"/>
  <c r="B8" i="23" l="1"/>
  <c r="K14" i="23"/>
  <c r="K13" i="23"/>
  <c r="C18" i="22"/>
  <c r="C30" i="22"/>
  <c r="C46" i="22"/>
  <c r="C58" i="22"/>
  <c r="C3" i="22"/>
  <c r="C7" i="22"/>
  <c r="C11" i="22"/>
  <c r="C15" i="22"/>
  <c r="C19" i="22"/>
  <c r="C23" i="22"/>
  <c r="C27" i="22"/>
  <c r="C31" i="22"/>
  <c r="C35" i="22"/>
  <c r="C39" i="22"/>
  <c r="C43" i="22"/>
  <c r="C47" i="22"/>
  <c r="C51" i="22"/>
  <c r="C55" i="22"/>
  <c r="C59" i="22"/>
  <c r="C63" i="22"/>
  <c r="C2" i="22"/>
  <c r="C5" i="22"/>
  <c r="C13" i="22"/>
  <c r="C21" i="22"/>
  <c r="C29" i="22"/>
  <c r="C37" i="22"/>
  <c r="C45" i="22"/>
  <c r="C53" i="22"/>
  <c r="C61" i="22"/>
  <c r="C6" i="22"/>
  <c r="C14" i="22"/>
  <c r="C22" i="22"/>
  <c r="C34" i="22"/>
  <c r="C42" i="22"/>
  <c r="C54" i="22"/>
  <c r="C66" i="22"/>
  <c r="C4" i="22"/>
  <c r="C8" i="22"/>
  <c r="C12" i="22"/>
  <c r="C16" i="22"/>
  <c r="C20" i="22"/>
  <c r="C24" i="22"/>
  <c r="C28" i="22"/>
  <c r="C32" i="22"/>
  <c r="C36" i="22"/>
  <c r="C40" i="22"/>
  <c r="C44" i="22"/>
  <c r="C48" i="22"/>
  <c r="C52" i="22"/>
  <c r="C56" i="22"/>
  <c r="C60" i="22"/>
  <c r="C64" i="22"/>
  <c r="C9" i="22"/>
  <c r="C17" i="22"/>
  <c r="C25" i="22"/>
  <c r="C33" i="22"/>
  <c r="C41" i="22"/>
  <c r="C49" i="22"/>
  <c r="C57" i="22"/>
  <c r="C65" i="22"/>
  <c r="C10" i="22"/>
  <c r="C26" i="22"/>
  <c r="C38" i="22"/>
  <c r="C50" i="22"/>
  <c r="C62" i="22"/>
  <c r="B10" i="23"/>
  <c r="B9" i="23"/>
  <c r="L2" i="20"/>
  <c r="E3" i="20"/>
  <c r="L3" i="20"/>
  <c r="E4" i="20"/>
  <c r="G4" i="20" s="1"/>
  <c r="L4" i="20"/>
  <c r="D6" i="20"/>
  <c r="G6" i="20"/>
  <c r="D7" i="20"/>
  <c r="G7" i="20"/>
  <c r="D8" i="20"/>
  <c r="G8" i="20"/>
  <c r="D9" i="20"/>
  <c r="G9" i="20"/>
  <c r="D49" i="22" l="1"/>
  <c r="D56" i="22"/>
  <c r="D8" i="22"/>
  <c r="D6" i="22"/>
  <c r="D5" i="22"/>
  <c r="D39" i="22"/>
  <c r="D7" i="22"/>
  <c r="D62" i="22"/>
  <c r="D9" i="22"/>
  <c r="D36" i="22"/>
  <c r="D4" i="22"/>
  <c r="D35" i="22"/>
  <c r="D3" i="22"/>
  <c r="D33" i="22"/>
  <c r="D48" i="22"/>
  <c r="D66" i="22"/>
  <c r="D22" i="22"/>
  <c r="D53" i="22"/>
  <c r="D21" i="22"/>
  <c r="D63" i="22"/>
  <c r="D47" i="22"/>
  <c r="D31" i="22"/>
  <c r="D15" i="22"/>
  <c r="D58" i="22"/>
  <c r="D26" i="22"/>
  <c r="D17" i="22"/>
  <c r="D40" i="22"/>
  <c r="D24" i="22"/>
  <c r="D42" i="22"/>
  <c r="D37" i="22"/>
  <c r="D55" i="22"/>
  <c r="D23" i="22"/>
  <c r="D30" i="22"/>
  <c r="D10" i="22"/>
  <c r="D41" i="22"/>
  <c r="D52" i="22"/>
  <c r="D20" i="22"/>
  <c r="D34" i="22"/>
  <c r="D61" i="22"/>
  <c r="D29" i="22"/>
  <c r="D51" i="22"/>
  <c r="D19" i="22"/>
  <c r="D18" i="22"/>
  <c r="D50" i="22"/>
  <c r="D65" i="22"/>
  <c r="D64" i="22"/>
  <c r="D32" i="22"/>
  <c r="D16" i="22"/>
  <c r="D38" i="22"/>
  <c r="D57" i="22"/>
  <c r="D25" i="22"/>
  <c r="D60" i="22"/>
  <c r="D44" i="22"/>
  <c r="D28" i="22"/>
  <c r="D12" i="22"/>
  <c r="D54" i="22"/>
  <c r="D14" i="22"/>
  <c r="D45" i="22"/>
  <c r="D13" i="22"/>
  <c r="D59" i="22"/>
  <c r="D43" i="22"/>
  <c r="D27" i="22"/>
  <c r="D11" i="22"/>
  <c r="D46" i="22"/>
  <c r="D2" i="22"/>
  <c r="B21" i="23"/>
  <c r="B20" i="23"/>
  <c r="B19" i="23"/>
  <c r="K7" i="20"/>
  <c r="L7" i="20" s="1"/>
  <c r="K9" i="20"/>
  <c r="L9" i="20" s="1"/>
  <c r="E8" i="20"/>
  <c r="F8" i="20" s="1"/>
  <c r="E7" i="20"/>
  <c r="F7" i="20" s="1"/>
  <c r="E9" i="20"/>
  <c r="F9" i="20" s="1"/>
  <c r="E6" i="20"/>
  <c r="F6" i="20" s="1"/>
  <c r="K6" i="20"/>
  <c r="L6" i="20" s="1"/>
  <c r="K8" i="20"/>
  <c r="L8" i="20" s="1"/>
  <c r="AG16" i="19" l="1"/>
  <c r="X16" i="19"/>
  <c r="O16" i="19"/>
  <c r="AG4" i="19"/>
  <c r="X4" i="19"/>
  <c r="W1" i="19"/>
  <c r="A24" i="18"/>
  <c r="A21" i="18"/>
  <c r="A18" i="18"/>
  <c r="A11" i="18"/>
  <c r="A8" i="18"/>
  <c r="A5" i="18"/>
  <c r="O4" i="19"/>
  <c r="U1" i="19"/>
  <c r="S1" i="19"/>
  <c r="Q1" i="19"/>
  <c r="L5" i="19"/>
  <c r="K5" i="19"/>
  <c r="J5" i="19"/>
  <c r="I5" i="19"/>
  <c r="H5" i="19"/>
  <c r="F5" i="19"/>
  <c r="E5" i="19"/>
  <c r="D5" i="19"/>
  <c r="C5" i="19"/>
  <c r="B5" i="19"/>
  <c r="A6" i="19"/>
  <c r="A7" i="19" l="1"/>
  <c r="H6" i="19"/>
  <c r="L6" i="19"/>
  <c r="J6" i="19"/>
  <c r="K6" i="19"/>
  <c r="C6" i="19"/>
  <c r="D6" i="19"/>
  <c r="E6" i="19"/>
  <c r="I6" i="19"/>
  <c r="B6" i="19"/>
  <c r="F6" i="19"/>
  <c r="E3" i="18"/>
  <c r="E2" i="18"/>
  <c r="B3" i="18" l="1"/>
  <c r="B16" i="18"/>
  <c r="A8" i="19"/>
  <c r="K7" i="19"/>
  <c r="I7" i="19"/>
  <c r="J7" i="19"/>
  <c r="H7" i="19"/>
  <c r="B7" i="19"/>
  <c r="F7" i="19"/>
  <c r="L7" i="19"/>
  <c r="C7" i="19"/>
  <c r="D7" i="19"/>
  <c r="E7" i="19"/>
  <c r="I11" i="17"/>
  <c r="I12" i="17"/>
  <c r="I13" i="17"/>
  <c r="I14" i="17"/>
  <c r="I15" i="17"/>
  <c r="I16" i="17"/>
  <c r="F11" i="17"/>
  <c r="F12" i="17"/>
  <c r="F13" i="17"/>
  <c r="F14" i="17"/>
  <c r="F15" i="17"/>
  <c r="F16" i="17"/>
  <c r="C10" i="17"/>
  <c r="C11" i="17"/>
  <c r="C12" i="17"/>
  <c r="C13" i="17"/>
  <c r="C14" i="17"/>
  <c r="C15" i="17"/>
  <c r="C16" i="17"/>
  <c r="A9" i="19" l="1"/>
  <c r="J8" i="19"/>
  <c r="H8" i="19"/>
  <c r="L8" i="19"/>
  <c r="I8" i="19"/>
  <c r="E8" i="19"/>
  <c r="B8" i="19"/>
  <c r="F8" i="19"/>
  <c r="K8" i="19"/>
  <c r="C8" i="19"/>
  <c r="D8" i="19"/>
  <c r="AH105" i="10"/>
  <c r="A10" i="19" l="1"/>
  <c r="I9" i="19"/>
  <c r="K9" i="19"/>
  <c r="H9" i="19"/>
  <c r="L9" i="19"/>
  <c r="D9" i="19"/>
  <c r="E9" i="19"/>
  <c r="B9" i="19"/>
  <c r="F9" i="19"/>
  <c r="J9" i="19"/>
  <c r="C9" i="19"/>
  <c r="C4" i="3"/>
  <c r="A11" i="19" l="1"/>
  <c r="H10" i="19"/>
  <c r="L10" i="19"/>
  <c r="J10" i="19"/>
  <c r="K10" i="19"/>
  <c r="I10" i="19"/>
  <c r="C10" i="19"/>
  <c r="D10" i="19"/>
  <c r="E10" i="19"/>
  <c r="B10" i="19"/>
  <c r="F10" i="19"/>
  <c r="C4" i="12"/>
  <c r="A7" i="12"/>
  <c r="K3" i="12"/>
  <c r="M1" i="12"/>
  <c r="A12" i="19" l="1"/>
  <c r="K11" i="19"/>
  <c r="I11" i="19"/>
  <c r="J11" i="19"/>
  <c r="B11" i="19"/>
  <c r="F11" i="19"/>
  <c r="H11" i="19"/>
  <c r="C11" i="19"/>
  <c r="L11" i="19"/>
  <c r="D11" i="19"/>
  <c r="E11" i="19"/>
  <c r="C4" i="10"/>
  <c r="A7" i="10"/>
  <c r="K3" i="10"/>
  <c r="M1" i="10"/>
  <c r="A13" i="19" l="1"/>
  <c r="J12" i="19"/>
  <c r="H12" i="19"/>
  <c r="L12" i="19"/>
  <c r="I12" i="19"/>
  <c r="E12" i="19"/>
  <c r="B12" i="19"/>
  <c r="F12" i="19"/>
  <c r="C12" i="19"/>
  <c r="K12" i="19"/>
  <c r="D12" i="19"/>
  <c r="A21" i="2"/>
  <c r="A14" i="19" l="1"/>
  <c r="I13" i="19"/>
  <c r="K13" i="19"/>
  <c r="H13" i="19"/>
  <c r="L13" i="19"/>
  <c r="J13" i="19"/>
  <c r="D13" i="19"/>
  <c r="E13" i="19"/>
  <c r="B13" i="19"/>
  <c r="F13" i="19"/>
  <c r="C13" i="19"/>
  <c r="A8" i="3"/>
  <c r="A8" i="12"/>
  <c r="A8" i="10"/>
  <c r="A22" i="2"/>
  <c r="A15" i="19" l="1"/>
  <c r="H14" i="19"/>
  <c r="L14" i="19"/>
  <c r="J14" i="19"/>
  <c r="K14" i="19"/>
  <c r="C14" i="19"/>
  <c r="I14" i="19"/>
  <c r="D14" i="19"/>
  <c r="E14" i="19"/>
  <c r="B14" i="19"/>
  <c r="F14" i="19"/>
  <c r="A9" i="12"/>
  <c r="A9" i="10"/>
  <c r="A23" i="2"/>
  <c r="A9" i="3"/>
  <c r="M1" i="3"/>
  <c r="A7" i="3"/>
  <c r="H13" i="4"/>
  <c r="G13" i="4" s="1"/>
  <c r="A16" i="19" l="1"/>
  <c r="K15" i="19"/>
  <c r="I15" i="19"/>
  <c r="J15" i="19"/>
  <c r="B15" i="19"/>
  <c r="F15" i="19"/>
  <c r="C15" i="19"/>
  <c r="H15" i="19"/>
  <c r="D15" i="19"/>
  <c r="L15" i="19"/>
  <c r="E15" i="19"/>
  <c r="A10" i="12"/>
  <c r="A10" i="10"/>
  <c r="A24" i="2"/>
  <c r="A10" i="3"/>
  <c r="J49" i="4"/>
  <c r="D25" i="4"/>
  <c r="D24" i="4"/>
  <c r="G23" i="4"/>
  <c r="D23" i="4"/>
  <c r="D22" i="4"/>
  <c r="D21" i="4"/>
  <c r="D20" i="4"/>
  <c r="G19" i="4"/>
  <c r="D19" i="4"/>
  <c r="D18" i="4"/>
  <c r="D17" i="4"/>
  <c r="D16" i="4"/>
  <c r="G15" i="4"/>
  <c r="D15" i="4"/>
  <c r="D14" i="4"/>
  <c r="B14" i="4"/>
  <c r="N13" i="4"/>
  <c r="M25" i="4" s="1"/>
  <c r="K13" i="4"/>
  <c r="E13" i="4"/>
  <c r="D13" i="4"/>
  <c r="C13" i="4"/>
  <c r="F13" i="4"/>
  <c r="C7" i="4"/>
  <c r="D7" i="4" s="1"/>
  <c r="C6" i="4"/>
  <c r="D6" i="4" s="1"/>
  <c r="C5" i="4"/>
  <c r="C4" i="4"/>
  <c r="D4" i="4" s="1"/>
  <c r="K3" i="3"/>
  <c r="C14" i="2"/>
  <c r="I20" i="2" s="1"/>
  <c r="B14" i="2"/>
  <c r="C13" i="2"/>
  <c r="H20" i="2" s="1"/>
  <c r="B13" i="2"/>
  <c r="C12" i="2"/>
  <c r="G20" i="2" s="1"/>
  <c r="B12" i="2"/>
  <c r="C11" i="2"/>
  <c r="F20" i="2" s="1"/>
  <c r="B11" i="2"/>
  <c r="C10" i="2"/>
  <c r="E20" i="2" s="1"/>
  <c r="B10" i="2"/>
  <c r="C9" i="2"/>
  <c r="D20" i="2" s="1"/>
  <c r="B9" i="2"/>
  <c r="C8" i="2"/>
  <c r="C20" i="2" s="1"/>
  <c r="B8" i="2"/>
  <c r="C7" i="2"/>
  <c r="B7" i="2"/>
  <c r="I4" i="2"/>
  <c r="H4" i="2"/>
  <c r="G4" i="2"/>
  <c r="F4" i="2"/>
  <c r="E4" i="2"/>
  <c r="D4" i="2"/>
  <c r="C4" i="2"/>
  <c r="B4" i="2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J13" i="1"/>
  <c r="B10" i="1"/>
  <c r="B6" i="1"/>
  <c r="B20" i="2" l="1"/>
  <c r="B2" i="22"/>
  <c r="L4" i="22"/>
  <c r="O1" i="19"/>
  <c r="AB19" i="19" s="1"/>
  <c r="E1" i="18"/>
  <c r="G19" i="18" s="1"/>
  <c r="AB17" i="19"/>
  <c r="S17" i="19"/>
  <c r="G9" i="18"/>
  <c r="G12" i="18"/>
  <c r="AK19" i="19"/>
  <c r="S19" i="19"/>
  <c r="Z17" i="19"/>
  <c r="E6" i="18"/>
  <c r="AI17" i="19"/>
  <c r="AI19" i="19"/>
  <c r="Z19" i="19"/>
  <c r="Q17" i="19"/>
  <c r="E12" i="18"/>
  <c r="E22" i="18"/>
  <c r="AD17" i="19"/>
  <c r="AM17" i="19"/>
  <c r="I25" i="18"/>
  <c r="U19" i="19"/>
  <c r="I12" i="18"/>
  <c r="AM19" i="19"/>
  <c r="AD19" i="19"/>
  <c r="B9" i="18"/>
  <c r="W17" i="19"/>
  <c r="AF19" i="19"/>
  <c r="B44" i="4"/>
  <c r="B25" i="18"/>
  <c r="B22" i="18"/>
  <c r="N17" i="19"/>
  <c r="W19" i="19"/>
  <c r="N19" i="19"/>
  <c r="F9" i="18"/>
  <c r="AA17" i="19"/>
  <c r="AJ17" i="19"/>
  <c r="F22" i="18"/>
  <c r="F12" i="18"/>
  <c r="R17" i="19"/>
  <c r="F6" i="18"/>
  <c r="R19" i="19"/>
  <c r="AA19" i="19"/>
  <c r="AG17" i="19"/>
  <c r="X17" i="19"/>
  <c r="O19" i="19"/>
  <c r="C22" i="18"/>
  <c r="C6" i="18"/>
  <c r="O17" i="19"/>
  <c r="B5" i="22"/>
  <c r="B9" i="22"/>
  <c r="B13" i="22"/>
  <c r="B17" i="22"/>
  <c r="B21" i="22"/>
  <c r="B25" i="22"/>
  <c r="B29" i="22"/>
  <c r="B33" i="22"/>
  <c r="B37" i="22"/>
  <c r="B41" i="22"/>
  <c r="B45" i="22"/>
  <c r="B49" i="22"/>
  <c r="B53" i="22"/>
  <c r="B57" i="22"/>
  <c r="B61" i="22"/>
  <c r="B65" i="22"/>
  <c r="B8" i="22"/>
  <c r="B20" i="22"/>
  <c r="B32" i="22"/>
  <c r="B52" i="22"/>
  <c r="B64" i="22"/>
  <c r="B6" i="22"/>
  <c r="B10" i="22"/>
  <c r="B14" i="22"/>
  <c r="B18" i="22"/>
  <c r="B22" i="22"/>
  <c r="B26" i="22"/>
  <c r="B30" i="22"/>
  <c r="B34" i="22"/>
  <c r="B38" i="22"/>
  <c r="B42" i="22"/>
  <c r="B46" i="22"/>
  <c r="B50" i="22"/>
  <c r="B54" i="22"/>
  <c r="B58" i="22"/>
  <c r="B62" i="22"/>
  <c r="B66" i="22"/>
  <c r="B12" i="22"/>
  <c r="B28" i="22"/>
  <c r="B40" i="22"/>
  <c r="B48" i="22"/>
  <c r="B60" i="22"/>
  <c r="B3" i="22"/>
  <c r="B7" i="22"/>
  <c r="B11" i="22"/>
  <c r="B15" i="22"/>
  <c r="B19" i="22"/>
  <c r="B23" i="22"/>
  <c r="B27" i="22"/>
  <c r="B31" i="22"/>
  <c r="B35" i="22"/>
  <c r="B39" i="22"/>
  <c r="B43" i="22"/>
  <c r="B47" i="22"/>
  <c r="B51" i="22"/>
  <c r="B55" i="22"/>
  <c r="B59" i="22"/>
  <c r="B63" i="22"/>
  <c r="B4" i="22"/>
  <c r="B16" i="22"/>
  <c r="B24" i="22"/>
  <c r="B36" i="22"/>
  <c r="B44" i="22"/>
  <c r="B56" i="22"/>
  <c r="AH17" i="19"/>
  <c r="Y17" i="19"/>
  <c r="D6" i="18"/>
  <c r="D9" i="18"/>
  <c r="P19" i="19"/>
  <c r="Y19" i="19"/>
  <c r="AH19" i="19"/>
  <c r="P17" i="19"/>
  <c r="AL17" i="19"/>
  <c r="AC17" i="19"/>
  <c r="H6" i="18"/>
  <c r="H9" i="18"/>
  <c r="T17" i="19"/>
  <c r="AC19" i="19"/>
  <c r="AL19" i="19"/>
  <c r="T19" i="19"/>
  <c r="A17" i="19"/>
  <c r="J16" i="19"/>
  <c r="H16" i="19"/>
  <c r="L16" i="19"/>
  <c r="I16" i="19"/>
  <c r="K16" i="19"/>
  <c r="E16" i="19"/>
  <c r="B16" i="19"/>
  <c r="F16" i="19"/>
  <c r="C16" i="19"/>
  <c r="D16" i="19"/>
  <c r="BA5" i="3"/>
  <c r="AY7" i="3" s="1"/>
  <c r="BA5" i="12"/>
  <c r="BA5" i="10"/>
  <c r="BI5" i="3"/>
  <c r="BG10" i="3" s="1"/>
  <c r="BI5" i="12"/>
  <c r="BI5" i="10"/>
  <c r="AE7" i="3"/>
  <c r="AF7" i="3" s="1"/>
  <c r="AG7" i="3" s="1"/>
  <c r="AE7" i="12"/>
  <c r="AF7" i="12" s="1"/>
  <c r="AG7" i="12" s="1"/>
  <c r="AE7" i="10"/>
  <c r="AF7" i="10" s="1"/>
  <c r="AG7" i="10" s="1"/>
  <c r="E5" i="3"/>
  <c r="E5" i="12"/>
  <c r="E5" i="10"/>
  <c r="AK5" i="3"/>
  <c r="AK5" i="12"/>
  <c r="AK5" i="10"/>
  <c r="U5" i="3"/>
  <c r="S7" i="3" s="1"/>
  <c r="T7" i="3" s="1"/>
  <c r="U5" i="12"/>
  <c r="U5" i="10"/>
  <c r="AC5" i="3"/>
  <c r="AA7" i="3" s="1"/>
  <c r="AC5" i="12"/>
  <c r="AC5" i="10"/>
  <c r="O7" i="3"/>
  <c r="P7" i="3" s="1"/>
  <c r="Q7" i="3" s="1"/>
  <c r="O7" i="12"/>
  <c r="P7" i="12" s="1"/>
  <c r="Q7" i="12" s="1"/>
  <c r="O7" i="10"/>
  <c r="P7" i="10" s="1"/>
  <c r="Q7" i="10" s="1"/>
  <c r="AU7" i="3"/>
  <c r="AV7" i="3" s="1"/>
  <c r="AW7" i="3" s="1"/>
  <c r="AU7" i="12"/>
  <c r="AV7" i="12" s="1"/>
  <c r="AW7" i="12" s="1"/>
  <c r="AU7" i="10"/>
  <c r="AV7" i="10" s="1"/>
  <c r="AW7" i="10" s="1"/>
  <c r="K2" i="3"/>
  <c r="K2" i="12"/>
  <c r="K2" i="10"/>
  <c r="M5" i="3"/>
  <c r="M5" i="12"/>
  <c r="M5" i="10"/>
  <c r="AS5" i="3"/>
  <c r="AQ7" i="3" s="1"/>
  <c r="AS5" i="12"/>
  <c r="AS5" i="10"/>
  <c r="W7" i="3"/>
  <c r="X7" i="3" s="1"/>
  <c r="Y7" i="3" s="1"/>
  <c r="W7" i="12"/>
  <c r="X7" i="12" s="1"/>
  <c r="Y7" i="12" s="1"/>
  <c r="W7" i="10"/>
  <c r="X7" i="10" s="1"/>
  <c r="Y7" i="10" s="1"/>
  <c r="AM7" i="3"/>
  <c r="AN7" i="3" s="1"/>
  <c r="AO7" i="3" s="1"/>
  <c r="AM7" i="12"/>
  <c r="AN7" i="12" s="1"/>
  <c r="AO7" i="12" s="1"/>
  <c r="AM7" i="10"/>
  <c r="AN7" i="10" s="1"/>
  <c r="AO7" i="10" s="1"/>
  <c r="BC7" i="3"/>
  <c r="BD7" i="3" s="1"/>
  <c r="BE7" i="3" s="1"/>
  <c r="BC7" i="12"/>
  <c r="BD7" i="12" s="1"/>
  <c r="BE7" i="12" s="1"/>
  <c r="BC7" i="10"/>
  <c r="BD7" i="10" s="1"/>
  <c r="BE7" i="10" s="1"/>
  <c r="G24" i="2"/>
  <c r="A11" i="12"/>
  <c r="A11" i="10"/>
  <c r="BK7" i="3"/>
  <c r="BL7" i="3" s="1"/>
  <c r="BM7" i="3" s="1"/>
  <c r="BK7" i="12"/>
  <c r="BL7" i="12" s="1"/>
  <c r="BM7" i="12" s="1"/>
  <c r="BK7" i="10"/>
  <c r="BL7" i="10" s="1"/>
  <c r="BM7" i="10" s="1"/>
  <c r="E12" i="2"/>
  <c r="AO20" i="2" s="1"/>
  <c r="M19" i="4"/>
  <c r="AI7" i="3"/>
  <c r="M15" i="4"/>
  <c r="M24" i="4"/>
  <c r="M20" i="4"/>
  <c r="M16" i="4"/>
  <c r="M23" i="4"/>
  <c r="A25" i="2"/>
  <c r="A11" i="3"/>
  <c r="K7" i="3"/>
  <c r="BG8" i="3"/>
  <c r="F8" i="2"/>
  <c r="F9" i="2"/>
  <c r="E11" i="2"/>
  <c r="E7" i="2"/>
  <c r="E10" i="2"/>
  <c r="F12" i="2"/>
  <c r="E14" i="2"/>
  <c r="F13" i="2"/>
  <c r="E9" i="2"/>
  <c r="W20" i="2" s="1"/>
  <c r="F11" i="2"/>
  <c r="E13" i="2"/>
  <c r="E8" i="2"/>
  <c r="F10" i="2"/>
  <c r="F14" i="2"/>
  <c r="I22" i="2"/>
  <c r="E22" i="2"/>
  <c r="H22" i="2"/>
  <c r="D22" i="2"/>
  <c r="G22" i="2"/>
  <c r="C22" i="2"/>
  <c r="F22" i="2"/>
  <c r="B22" i="2"/>
  <c r="C7" i="3"/>
  <c r="C8" i="3"/>
  <c r="H46" i="4"/>
  <c r="H45" i="4"/>
  <c r="H44" i="4"/>
  <c r="C21" i="2"/>
  <c r="G21" i="2"/>
  <c r="B45" i="4"/>
  <c r="B46" i="4"/>
  <c r="D46" i="4"/>
  <c r="D45" i="4"/>
  <c r="D44" i="4"/>
  <c r="E46" i="4"/>
  <c r="E45" i="4"/>
  <c r="E44" i="4"/>
  <c r="I46" i="4"/>
  <c r="I45" i="4"/>
  <c r="I44" i="4"/>
  <c r="D21" i="2"/>
  <c r="H21" i="2"/>
  <c r="F7" i="2"/>
  <c r="F46" i="4"/>
  <c r="F44" i="4"/>
  <c r="F45" i="4"/>
  <c r="E21" i="2"/>
  <c r="I21" i="2"/>
  <c r="C46" i="4"/>
  <c r="C45" i="4"/>
  <c r="C44" i="4"/>
  <c r="G46" i="4"/>
  <c r="G45" i="4"/>
  <c r="G44" i="4"/>
  <c r="B21" i="2"/>
  <c r="F21" i="2"/>
  <c r="C9" i="4"/>
  <c r="D5" i="4"/>
  <c r="J23" i="4"/>
  <c r="J19" i="4"/>
  <c r="J15" i="4"/>
  <c r="J13" i="4"/>
  <c r="I13" i="4" s="1"/>
  <c r="J24" i="4"/>
  <c r="J20" i="4"/>
  <c r="J16" i="4"/>
  <c r="J25" i="4"/>
  <c r="J22" i="4"/>
  <c r="J21" i="4"/>
  <c r="J17" i="4"/>
  <c r="J18" i="4"/>
  <c r="J14" i="4"/>
  <c r="A14" i="4"/>
  <c r="B15" i="4"/>
  <c r="B10" i="4"/>
  <c r="G24" i="4"/>
  <c r="G20" i="4"/>
  <c r="G16" i="4"/>
  <c r="G25" i="4"/>
  <c r="G21" i="4"/>
  <c r="G17" i="4"/>
  <c r="H14" i="4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G14" i="4"/>
  <c r="G18" i="4"/>
  <c r="G22" i="4"/>
  <c r="M13" i="4"/>
  <c r="L13" i="4" s="1"/>
  <c r="M14" i="4"/>
  <c r="M18" i="4"/>
  <c r="M22" i="4"/>
  <c r="M17" i="4"/>
  <c r="M21" i="4"/>
  <c r="H22" i="18" l="1"/>
  <c r="H25" i="18"/>
  <c r="D22" i="18"/>
  <c r="D25" i="18"/>
  <c r="C9" i="18"/>
  <c r="C25" i="18"/>
  <c r="B19" i="18"/>
  <c r="B6" i="18"/>
  <c r="I19" i="18"/>
  <c r="I6" i="18"/>
  <c r="E9" i="18"/>
  <c r="G6" i="18"/>
  <c r="G25" i="18"/>
  <c r="H12" i="18"/>
  <c r="H19" i="18"/>
  <c r="D12" i="18"/>
  <c r="D19" i="18"/>
  <c r="C12" i="18"/>
  <c r="C19" i="18"/>
  <c r="F19" i="18"/>
  <c r="F25" i="18"/>
  <c r="B12" i="18"/>
  <c r="I22" i="18"/>
  <c r="I9" i="18"/>
  <c r="E19" i="18"/>
  <c r="E25" i="18"/>
  <c r="G22" i="18"/>
  <c r="G4" i="22"/>
  <c r="I4" i="22" s="1"/>
  <c r="G8" i="22"/>
  <c r="I8" i="22" s="1"/>
  <c r="G12" i="22"/>
  <c r="I12" i="22" s="1"/>
  <c r="G16" i="22"/>
  <c r="I16" i="22" s="1"/>
  <c r="G20" i="22"/>
  <c r="I20" i="22" s="1"/>
  <c r="G24" i="22"/>
  <c r="I24" i="22" s="1"/>
  <c r="G28" i="22"/>
  <c r="I28" i="22" s="1"/>
  <c r="G32" i="22"/>
  <c r="I32" i="22" s="1"/>
  <c r="G36" i="22"/>
  <c r="I36" i="22" s="1"/>
  <c r="G40" i="22"/>
  <c r="I40" i="22" s="1"/>
  <c r="G44" i="22"/>
  <c r="I44" i="22" s="1"/>
  <c r="G48" i="22"/>
  <c r="I48" i="22" s="1"/>
  <c r="G52" i="22"/>
  <c r="I52" i="22" s="1"/>
  <c r="G56" i="22"/>
  <c r="I56" i="22" s="1"/>
  <c r="G60" i="22"/>
  <c r="I60" i="22" s="1"/>
  <c r="G64" i="22"/>
  <c r="I64" i="22" s="1"/>
  <c r="G7" i="22"/>
  <c r="I7" i="22" s="1"/>
  <c r="G15" i="22"/>
  <c r="I15" i="22" s="1"/>
  <c r="G23" i="22"/>
  <c r="I23" i="22" s="1"/>
  <c r="G31" i="22"/>
  <c r="I31" i="22" s="1"/>
  <c r="G39" i="22"/>
  <c r="I39" i="22" s="1"/>
  <c r="G47" i="22"/>
  <c r="I47" i="22" s="1"/>
  <c r="G55" i="22"/>
  <c r="I55" i="22" s="1"/>
  <c r="G63" i="22"/>
  <c r="I63" i="22" s="1"/>
  <c r="G5" i="22"/>
  <c r="I5" i="22" s="1"/>
  <c r="G9" i="22"/>
  <c r="I9" i="22" s="1"/>
  <c r="G13" i="22"/>
  <c r="I13" i="22" s="1"/>
  <c r="G17" i="22"/>
  <c r="I17" i="22" s="1"/>
  <c r="G21" i="22"/>
  <c r="I21" i="22" s="1"/>
  <c r="G25" i="22"/>
  <c r="I25" i="22" s="1"/>
  <c r="G29" i="22"/>
  <c r="I29" i="22" s="1"/>
  <c r="G33" i="22"/>
  <c r="I33" i="22" s="1"/>
  <c r="G37" i="22"/>
  <c r="I37" i="22" s="1"/>
  <c r="G41" i="22"/>
  <c r="I41" i="22" s="1"/>
  <c r="G45" i="22"/>
  <c r="I45" i="22" s="1"/>
  <c r="G49" i="22"/>
  <c r="I49" i="22" s="1"/>
  <c r="G53" i="22"/>
  <c r="I53" i="22" s="1"/>
  <c r="G57" i="22"/>
  <c r="I57" i="22" s="1"/>
  <c r="G61" i="22"/>
  <c r="I61" i="22" s="1"/>
  <c r="G65" i="22"/>
  <c r="I65" i="22" s="1"/>
  <c r="G6" i="22"/>
  <c r="I6" i="22" s="1"/>
  <c r="G10" i="22"/>
  <c r="I10" i="22" s="1"/>
  <c r="G14" i="22"/>
  <c r="I14" i="22" s="1"/>
  <c r="G18" i="22"/>
  <c r="I18" i="22" s="1"/>
  <c r="G22" i="22"/>
  <c r="I22" i="22" s="1"/>
  <c r="G26" i="22"/>
  <c r="I26" i="22" s="1"/>
  <c r="G30" i="22"/>
  <c r="I30" i="22" s="1"/>
  <c r="G34" i="22"/>
  <c r="I34" i="22" s="1"/>
  <c r="G38" i="22"/>
  <c r="I38" i="22" s="1"/>
  <c r="G42" i="22"/>
  <c r="I42" i="22" s="1"/>
  <c r="G46" i="22"/>
  <c r="I46" i="22" s="1"/>
  <c r="G50" i="22"/>
  <c r="I50" i="22" s="1"/>
  <c r="G54" i="22"/>
  <c r="I54" i="22" s="1"/>
  <c r="G58" i="22"/>
  <c r="I58" i="22" s="1"/>
  <c r="G62" i="22"/>
  <c r="I62" i="22" s="1"/>
  <c r="G66" i="22"/>
  <c r="I66" i="22" s="1"/>
  <c r="G3" i="22"/>
  <c r="I3" i="22" s="1"/>
  <c r="G11" i="22"/>
  <c r="I11" i="22" s="1"/>
  <c r="G19" i="22"/>
  <c r="I19" i="22" s="1"/>
  <c r="G27" i="22"/>
  <c r="I27" i="22" s="1"/>
  <c r="G35" i="22"/>
  <c r="I35" i="22" s="1"/>
  <c r="G43" i="22"/>
  <c r="I43" i="22" s="1"/>
  <c r="G51" i="22"/>
  <c r="I51" i="22" s="1"/>
  <c r="G59" i="22"/>
  <c r="I59" i="22" s="1"/>
  <c r="G2" i="22"/>
  <c r="I2" i="22" s="1"/>
  <c r="F5" i="22"/>
  <c r="H5" i="22" s="1"/>
  <c r="F9" i="22"/>
  <c r="H9" i="22" s="1"/>
  <c r="F13" i="22"/>
  <c r="H13" i="22" s="1"/>
  <c r="F17" i="22"/>
  <c r="H17" i="22" s="1"/>
  <c r="F21" i="22"/>
  <c r="H21" i="22" s="1"/>
  <c r="F25" i="22"/>
  <c r="H25" i="22" s="1"/>
  <c r="F29" i="22"/>
  <c r="H29" i="22" s="1"/>
  <c r="F33" i="22"/>
  <c r="H33" i="22" s="1"/>
  <c r="F37" i="22"/>
  <c r="H37" i="22" s="1"/>
  <c r="F41" i="22"/>
  <c r="H41" i="22" s="1"/>
  <c r="F45" i="22"/>
  <c r="H45" i="22" s="1"/>
  <c r="F49" i="22"/>
  <c r="H49" i="22" s="1"/>
  <c r="F53" i="22"/>
  <c r="H53" i="22" s="1"/>
  <c r="F57" i="22"/>
  <c r="H57" i="22" s="1"/>
  <c r="F61" i="22"/>
  <c r="H61" i="22" s="1"/>
  <c r="F65" i="22"/>
  <c r="H65" i="22" s="1"/>
  <c r="F16" i="22"/>
  <c r="H16" i="22" s="1"/>
  <c r="F28" i="22"/>
  <c r="H28" i="22" s="1"/>
  <c r="F40" i="22"/>
  <c r="H40" i="22" s="1"/>
  <c r="F48" i="22"/>
  <c r="H48" i="22" s="1"/>
  <c r="F60" i="22"/>
  <c r="H60" i="22" s="1"/>
  <c r="F6" i="22"/>
  <c r="H6" i="22" s="1"/>
  <c r="F10" i="22"/>
  <c r="H10" i="22" s="1"/>
  <c r="F14" i="22"/>
  <c r="H14" i="22" s="1"/>
  <c r="F18" i="22"/>
  <c r="H18" i="22" s="1"/>
  <c r="F22" i="22"/>
  <c r="H22" i="22" s="1"/>
  <c r="F26" i="22"/>
  <c r="H26" i="22" s="1"/>
  <c r="F30" i="22"/>
  <c r="H30" i="22" s="1"/>
  <c r="F34" i="22"/>
  <c r="H34" i="22" s="1"/>
  <c r="F38" i="22"/>
  <c r="H38" i="22" s="1"/>
  <c r="F42" i="22"/>
  <c r="H42" i="22" s="1"/>
  <c r="F46" i="22"/>
  <c r="H46" i="22" s="1"/>
  <c r="F50" i="22"/>
  <c r="H50" i="22" s="1"/>
  <c r="F54" i="22"/>
  <c r="H54" i="22" s="1"/>
  <c r="F58" i="22"/>
  <c r="H58" i="22" s="1"/>
  <c r="F62" i="22"/>
  <c r="H62" i="22" s="1"/>
  <c r="F66" i="22"/>
  <c r="H66" i="22" s="1"/>
  <c r="F4" i="22"/>
  <c r="H4" i="22" s="1"/>
  <c r="F12" i="22"/>
  <c r="H12" i="22" s="1"/>
  <c r="F24" i="22"/>
  <c r="H24" i="22" s="1"/>
  <c r="F36" i="22"/>
  <c r="H36" i="22" s="1"/>
  <c r="F52" i="22"/>
  <c r="H52" i="22" s="1"/>
  <c r="F64" i="22"/>
  <c r="H64" i="22" s="1"/>
  <c r="F3" i="22"/>
  <c r="H3" i="22" s="1"/>
  <c r="F7" i="22"/>
  <c r="H7" i="22" s="1"/>
  <c r="F11" i="22"/>
  <c r="H11" i="22" s="1"/>
  <c r="F15" i="22"/>
  <c r="H15" i="22" s="1"/>
  <c r="F19" i="22"/>
  <c r="H19" i="22" s="1"/>
  <c r="F23" i="22"/>
  <c r="H23" i="22" s="1"/>
  <c r="F27" i="22"/>
  <c r="H27" i="22" s="1"/>
  <c r="F31" i="22"/>
  <c r="H31" i="22" s="1"/>
  <c r="F35" i="22"/>
  <c r="H35" i="22" s="1"/>
  <c r="F39" i="22"/>
  <c r="H39" i="22" s="1"/>
  <c r="F43" i="22"/>
  <c r="H43" i="22" s="1"/>
  <c r="F47" i="22"/>
  <c r="H47" i="22" s="1"/>
  <c r="F51" i="22"/>
  <c r="H51" i="22" s="1"/>
  <c r="F55" i="22"/>
  <c r="H55" i="22" s="1"/>
  <c r="F59" i="22"/>
  <c r="H59" i="22" s="1"/>
  <c r="F63" i="22"/>
  <c r="H63" i="22" s="1"/>
  <c r="F2" i="22"/>
  <c r="H2" i="22" s="1"/>
  <c r="F8" i="22"/>
  <c r="H8" i="22" s="1"/>
  <c r="F20" i="22"/>
  <c r="H20" i="22" s="1"/>
  <c r="F32" i="22"/>
  <c r="H32" i="22" s="1"/>
  <c r="F44" i="22"/>
  <c r="H44" i="22" s="1"/>
  <c r="F56" i="22"/>
  <c r="H56" i="22" s="1"/>
  <c r="AK17" i="19"/>
  <c r="AG19" i="19"/>
  <c r="X19" i="19"/>
  <c r="AJ19" i="19"/>
  <c r="AF17" i="19"/>
  <c r="U17" i="19"/>
  <c r="Q19" i="19"/>
  <c r="B14" i="18"/>
  <c r="B1" i="18"/>
  <c r="B2" i="18"/>
  <c r="B15" i="18"/>
  <c r="AH7" i="19"/>
  <c r="Z7" i="19"/>
  <c r="AI7" i="19"/>
  <c r="AD7" i="19"/>
  <c r="AM7" i="19"/>
  <c r="AC7" i="19"/>
  <c r="P5" i="19"/>
  <c r="Q16" i="19"/>
  <c r="AB5" i="19"/>
  <c r="AG5" i="19"/>
  <c r="AA7" i="19"/>
  <c r="AJ7" i="19"/>
  <c r="Y7" i="19"/>
  <c r="AL7" i="19"/>
  <c r="U7" i="19"/>
  <c r="T7" i="19"/>
  <c r="N7" i="19"/>
  <c r="N5" i="19"/>
  <c r="AI16" i="19"/>
  <c r="AI5" i="19"/>
  <c r="X5" i="19"/>
  <c r="W5" i="19"/>
  <c r="AF5" i="19"/>
  <c r="AC5" i="19"/>
  <c r="Q7" i="19"/>
  <c r="P7" i="19"/>
  <c r="R7" i="19"/>
  <c r="S7" i="19"/>
  <c r="Z5" i="19"/>
  <c r="AK7" i="19"/>
  <c r="Z16" i="19"/>
  <c r="AM5" i="19"/>
  <c r="O7" i="19"/>
  <c r="AB7" i="19"/>
  <c r="AI4" i="19"/>
  <c r="AG7" i="19"/>
  <c r="AA5" i="19"/>
  <c r="AJ5" i="19"/>
  <c r="Y5" i="19"/>
  <c r="AL5" i="19"/>
  <c r="S5" i="19"/>
  <c r="R5" i="19"/>
  <c r="T5" i="19"/>
  <c r="U5" i="19"/>
  <c r="AD5" i="19"/>
  <c r="Z4" i="19"/>
  <c r="X7" i="19"/>
  <c r="AK5" i="19"/>
  <c r="W7" i="19"/>
  <c r="AF7" i="19"/>
  <c r="AH5" i="19"/>
  <c r="O5" i="19"/>
  <c r="Q4" i="19"/>
  <c r="Q5" i="19"/>
  <c r="A18" i="19"/>
  <c r="I17" i="19"/>
  <c r="K17" i="19"/>
  <c r="H17" i="19"/>
  <c r="L17" i="19"/>
  <c r="D17" i="19"/>
  <c r="J17" i="19"/>
  <c r="E17" i="19"/>
  <c r="B17" i="19"/>
  <c r="F17" i="19"/>
  <c r="C17" i="19"/>
  <c r="BG9" i="3"/>
  <c r="BG7" i="3"/>
  <c r="A12" i="12"/>
  <c r="K12" i="12" s="1"/>
  <c r="A12" i="10"/>
  <c r="AQ12" i="10" s="1"/>
  <c r="AQ10" i="10"/>
  <c r="AQ7" i="10"/>
  <c r="AQ9" i="10"/>
  <c r="AQ11" i="10"/>
  <c r="AQ8" i="10"/>
  <c r="K10" i="12"/>
  <c r="K9" i="12"/>
  <c r="K8" i="12"/>
  <c r="K7" i="12"/>
  <c r="K11" i="12"/>
  <c r="AA10" i="12"/>
  <c r="AA9" i="12"/>
  <c r="AA11" i="12"/>
  <c r="AA8" i="12"/>
  <c r="AA7" i="12"/>
  <c r="C10" i="10"/>
  <c r="C7" i="10"/>
  <c r="C8" i="10"/>
  <c r="C9" i="10"/>
  <c r="C12" i="10"/>
  <c r="C11" i="10"/>
  <c r="AM8" i="3"/>
  <c r="AN8" i="3" s="1"/>
  <c r="AO8" i="3" s="1"/>
  <c r="AM8" i="12"/>
  <c r="AN8" i="12" s="1"/>
  <c r="AO8" i="12" s="1"/>
  <c r="AM8" i="10"/>
  <c r="AN8" i="10" s="1"/>
  <c r="AO8" i="10" s="1"/>
  <c r="W8" i="3"/>
  <c r="X8" i="3" s="1"/>
  <c r="Y8" i="3" s="1"/>
  <c r="W8" i="12"/>
  <c r="X8" i="12" s="1"/>
  <c r="Y8" i="12" s="1"/>
  <c r="W8" i="10"/>
  <c r="X8" i="10" s="1"/>
  <c r="Y8" i="10" s="1"/>
  <c r="O9" i="3"/>
  <c r="P9" i="3" s="1"/>
  <c r="Q9" i="3" s="1"/>
  <c r="O9" i="12"/>
  <c r="P9" i="12" s="1"/>
  <c r="Q9" i="12" s="1"/>
  <c r="O9" i="10"/>
  <c r="P9" i="10" s="1"/>
  <c r="Q9" i="10" s="1"/>
  <c r="AE9" i="3"/>
  <c r="AF9" i="3" s="1"/>
  <c r="AG9" i="3" s="1"/>
  <c r="AE9" i="12"/>
  <c r="AF9" i="12" s="1"/>
  <c r="AG9" i="12" s="1"/>
  <c r="AE9" i="10"/>
  <c r="AF9" i="10" s="1"/>
  <c r="AG9" i="10" s="1"/>
  <c r="AQ10" i="12"/>
  <c r="AQ12" i="12"/>
  <c r="AQ8" i="12"/>
  <c r="AQ7" i="12"/>
  <c r="AQ11" i="12"/>
  <c r="AQ9" i="12"/>
  <c r="AI10" i="10"/>
  <c r="AI7" i="10"/>
  <c r="AI8" i="10"/>
  <c r="AI9" i="10"/>
  <c r="AI12" i="10"/>
  <c r="AI11" i="10"/>
  <c r="C7" i="12"/>
  <c r="C8" i="12"/>
  <c r="C9" i="12"/>
  <c r="C10" i="12"/>
  <c r="C12" i="12"/>
  <c r="C11" i="12"/>
  <c r="AY10" i="10"/>
  <c r="AY7" i="10"/>
  <c r="AY8" i="10"/>
  <c r="AY11" i="10"/>
  <c r="AY9" i="10"/>
  <c r="BC8" i="3"/>
  <c r="BD8" i="3" s="1"/>
  <c r="BE8" i="3" s="1"/>
  <c r="BC8" i="12"/>
  <c r="BD8" i="12" s="1"/>
  <c r="BE8" i="12" s="1"/>
  <c r="BC8" i="10"/>
  <c r="BD8" i="10" s="1"/>
  <c r="BE8" i="10" s="1"/>
  <c r="BC9" i="3"/>
  <c r="BD9" i="3" s="1"/>
  <c r="BC9" i="12"/>
  <c r="BD9" i="12" s="1"/>
  <c r="BE9" i="12" s="1"/>
  <c r="BC9" i="10"/>
  <c r="BD9" i="10" s="1"/>
  <c r="BE9" i="10" s="1"/>
  <c r="G8" i="12"/>
  <c r="H8" i="12" s="1"/>
  <c r="I8" i="12" s="1"/>
  <c r="G8" i="10"/>
  <c r="H8" i="10" s="1"/>
  <c r="I8" i="10" s="1"/>
  <c r="BK8" i="3"/>
  <c r="BL8" i="3" s="1"/>
  <c r="BM8" i="3" s="1"/>
  <c r="BK8" i="12"/>
  <c r="BL8" i="12" s="1"/>
  <c r="BM8" i="12" s="1"/>
  <c r="BK8" i="10"/>
  <c r="BL8" i="10" s="1"/>
  <c r="BM8" i="10" s="1"/>
  <c r="G9" i="3"/>
  <c r="H9" i="3" s="1"/>
  <c r="I9" i="3" s="1"/>
  <c r="G9" i="12"/>
  <c r="H9" i="12" s="1"/>
  <c r="I9" i="12" s="1"/>
  <c r="G9" i="10"/>
  <c r="H9" i="10" s="1"/>
  <c r="I9" i="10" s="1"/>
  <c r="AU9" i="3"/>
  <c r="AV9" i="3" s="1"/>
  <c r="AW9" i="3" s="1"/>
  <c r="AU9" i="12"/>
  <c r="AV9" i="12" s="1"/>
  <c r="AW9" i="12" s="1"/>
  <c r="AU9" i="10"/>
  <c r="AV9" i="10" s="1"/>
  <c r="AW9" i="10" s="1"/>
  <c r="BK9" i="3"/>
  <c r="BL9" i="3" s="1"/>
  <c r="BK9" i="12"/>
  <c r="BL9" i="12" s="1"/>
  <c r="BM9" i="12" s="1"/>
  <c r="BK9" i="10"/>
  <c r="BL9" i="10" s="1"/>
  <c r="BM9" i="10" s="1"/>
  <c r="G7" i="3"/>
  <c r="H7" i="3" s="1"/>
  <c r="I7" i="3" s="1"/>
  <c r="G7" i="12"/>
  <c r="H7" i="12" s="1"/>
  <c r="I7" i="12" s="1"/>
  <c r="G7" i="10"/>
  <c r="H7" i="10" s="1"/>
  <c r="I7" i="10" s="1"/>
  <c r="AU11" i="12"/>
  <c r="AV11" i="12" s="1"/>
  <c r="AW11" i="12" s="1"/>
  <c r="AU11" i="10"/>
  <c r="AV11" i="10" s="1"/>
  <c r="AW11" i="10" s="1"/>
  <c r="S10" i="10"/>
  <c r="S7" i="10"/>
  <c r="S11" i="10"/>
  <c r="S9" i="10"/>
  <c r="S8" i="10"/>
  <c r="AI8" i="12"/>
  <c r="AI9" i="12"/>
  <c r="AI11" i="12"/>
  <c r="AI12" i="12"/>
  <c r="AI7" i="12"/>
  <c r="AI10" i="12"/>
  <c r="BG10" i="10"/>
  <c r="BG7" i="10"/>
  <c r="BG11" i="10"/>
  <c r="BG8" i="10"/>
  <c r="BG9" i="10"/>
  <c r="AY10" i="12"/>
  <c r="AY12" i="12"/>
  <c r="AY8" i="12"/>
  <c r="AY11" i="12"/>
  <c r="AY7" i="12"/>
  <c r="AY9" i="12"/>
  <c r="O8" i="12"/>
  <c r="P8" i="12" s="1"/>
  <c r="Q8" i="12" s="1"/>
  <c r="O8" i="10"/>
  <c r="P8" i="10" s="1"/>
  <c r="Q8" i="10" s="1"/>
  <c r="K1" i="3"/>
  <c r="K1" i="12"/>
  <c r="K1" i="10"/>
  <c r="AE8" i="3"/>
  <c r="AF8" i="3" s="1"/>
  <c r="AG8" i="3" s="1"/>
  <c r="AE8" i="12"/>
  <c r="AF8" i="12" s="1"/>
  <c r="AG8" i="12" s="1"/>
  <c r="AE8" i="10"/>
  <c r="AF8" i="10" s="1"/>
  <c r="AG8" i="10" s="1"/>
  <c r="AU8" i="3"/>
  <c r="AV8" i="3" s="1"/>
  <c r="AW8" i="3" s="1"/>
  <c r="AU8" i="12"/>
  <c r="AV8" i="12" s="1"/>
  <c r="AW8" i="12" s="1"/>
  <c r="AU8" i="10"/>
  <c r="AV8" i="10" s="1"/>
  <c r="AW8" i="10" s="1"/>
  <c r="AM9" i="3"/>
  <c r="AN9" i="3" s="1"/>
  <c r="AO9" i="3" s="1"/>
  <c r="AM9" i="12"/>
  <c r="AN9" i="12" s="1"/>
  <c r="AO9" i="12" s="1"/>
  <c r="AM9" i="10"/>
  <c r="AN9" i="10" s="1"/>
  <c r="AO9" i="10" s="1"/>
  <c r="W9" i="3"/>
  <c r="X9" i="3" s="1"/>
  <c r="Y9" i="3" s="1"/>
  <c r="W9" i="12"/>
  <c r="X9" i="12" s="1"/>
  <c r="Y9" i="12" s="1"/>
  <c r="W9" i="10"/>
  <c r="X9" i="10" s="1"/>
  <c r="Y9" i="10" s="1"/>
  <c r="K10" i="10"/>
  <c r="K7" i="10"/>
  <c r="K9" i="10"/>
  <c r="K8" i="10"/>
  <c r="K11" i="10"/>
  <c r="AA7" i="10"/>
  <c r="AA10" i="10"/>
  <c r="AA8" i="10"/>
  <c r="AA11" i="10"/>
  <c r="AA9" i="10"/>
  <c r="S10" i="12"/>
  <c r="S12" i="12"/>
  <c r="S7" i="12"/>
  <c r="S9" i="12"/>
  <c r="S8" i="12"/>
  <c r="S11" i="12"/>
  <c r="BG7" i="12"/>
  <c r="BG11" i="12"/>
  <c r="BG8" i="12"/>
  <c r="BG12" i="12"/>
  <c r="BG9" i="12"/>
  <c r="BG10" i="12"/>
  <c r="Q20" i="2"/>
  <c r="A26" i="2"/>
  <c r="A12" i="3"/>
  <c r="AI20" i="2"/>
  <c r="AU20" i="2"/>
  <c r="BA20" i="2"/>
  <c r="AC20" i="2"/>
  <c r="BE9" i="3"/>
  <c r="K21" i="2"/>
  <c r="L21" i="2" s="1"/>
  <c r="G8" i="3"/>
  <c r="H8" i="3" s="1"/>
  <c r="I8" i="3" s="1"/>
  <c r="BM9" i="3"/>
  <c r="Q21" i="2"/>
  <c r="O8" i="3"/>
  <c r="P8" i="3" s="1"/>
  <c r="Q8" i="3" s="1"/>
  <c r="AI9" i="3"/>
  <c r="AY9" i="3"/>
  <c r="AQ9" i="3"/>
  <c r="S9" i="3"/>
  <c r="AA9" i="3"/>
  <c r="K9" i="3"/>
  <c r="L7" i="3"/>
  <c r="M7" i="3" s="1"/>
  <c r="C9" i="3"/>
  <c r="C10" i="3"/>
  <c r="S10" i="3"/>
  <c r="K10" i="3"/>
  <c r="AQ10" i="3"/>
  <c r="AI10" i="3"/>
  <c r="AA10" i="3"/>
  <c r="AY10" i="3"/>
  <c r="AI8" i="3"/>
  <c r="AA8" i="3"/>
  <c r="S8" i="3"/>
  <c r="AY8" i="3"/>
  <c r="AQ8" i="3"/>
  <c r="K8" i="3"/>
  <c r="K20" i="2"/>
  <c r="L20" i="2" s="1"/>
  <c r="AO22" i="2"/>
  <c r="K22" i="2"/>
  <c r="L22" i="2" s="1"/>
  <c r="BA22" i="2"/>
  <c r="AU22" i="2"/>
  <c r="Q22" i="2"/>
  <c r="AC21" i="2"/>
  <c r="AC22" i="2"/>
  <c r="AI21" i="2"/>
  <c r="AU21" i="2"/>
  <c r="AO21" i="2"/>
  <c r="W21" i="2"/>
  <c r="W22" i="2"/>
  <c r="BA21" i="2"/>
  <c r="AI22" i="2"/>
  <c r="G7" i="2"/>
  <c r="G9" i="2"/>
  <c r="D8" i="3"/>
  <c r="E8" i="3" s="1"/>
  <c r="E3" i="22" s="1"/>
  <c r="G10" i="2"/>
  <c r="G12" i="2"/>
  <c r="G14" i="2"/>
  <c r="B16" i="4"/>
  <c r="A15" i="4"/>
  <c r="G11" i="2"/>
  <c r="D7" i="3"/>
  <c r="E7" i="3" s="1"/>
  <c r="E2" i="22" s="1"/>
  <c r="H23" i="2"/>
  <c r="D23" i="2"/>
  <c r="G23" i="2"/>
  <c r="C23" i="2"/>
  <c r="BG11" i="3"/>
  <c r="F23" i="2"/>
  <c r="B23" i="2"/>
  <c r="I23" i="2"/>
  <c r="E23" i="2"/>
  <c r="I14" i="4"/>
  <c r="C14" i="4"/>
  <c r="F14" i="4"/>
  <c r="L14" i="4"/>
  <c r="G13" i="2"/>
  <c r="G8" i="2"/>
  <c r="BG12" i="10" l="1"/>
  <c r="D10" i="3"/>
  <c r="E10" i="3" s="1"/>
  <c r="E5" i="22" s="1"/>
  <c r="O21" i="19"/>
  <c r="S21" i="19"/>
  <c r="R21" i="19"/>
  <c r="P21" i="19"/>
  <c r="N21" i="19"/>
  <c r="T21" i="19"/>
  <c r="Q21" i="19"/>
  <c r="U21" i="19"/>
  <c r="AG9" i="19"/>
  <c r="AL9" i="19"/>
  <c r="AK9" i="19"/>
  <c r="AJ9" i="19"/>
  <c r="AF9" i="19"/>
  <c r="AI9" i="19"/>
  <c r="AH9" i="19"/>
  <c r="AM9" i="19"/>
  <c r="AC21" i="19"/>
  <c r="W21" i="19"/>
  <c r="Y21" i="19"/>
  <c r="AB21" i="19"/>
  <c r="AA21" i="19"/>
  <c r="AD21" i="19"/>
  <c r="X21" i="19"/>
  <c r="Z21" i="19"/>
  <c r="AJ21" i="19"/>
  <c r="AF21" i="19"/>
  <c r="AG21" i="19"/>
  <c r="AL21" i="19"/>
  <c r="AK21" i="19"/>
  <c r="AM21" i="19"/>
  <c r="AH21" i="19"/>
  <c r="AI21" i="19"/>
  <c r="D9" i="3"/>
  <c r="Y9" i="19"/>
  <c r="AB9" i="19"/>
  <c r="X9" i="19"/>
  <c r="AC9" i="19"/>
  <c r="AD9" i="19"/>
  <c r="Z9" i="19"/>
  <c r="AA9" i="19"/>
  <c r="W9" i="19"/>
  <c r="O9" i="19"/>
  <c r="R9" i="19"/>
  <c r="S9" i="19"/>
  <c r="Q9" i="19"/>
  <c r="N9" i="19"/>
  <c r="U9" i="19"/>
  <c r="P9" i="19"/>
  <c r="T9" i="19"/>
  <c r="A19" i="19"/>
  <c r="H18" i="19"/>
  <c r="L18" i="19"/>
  <c r="J18" i="19"/>
  <c r="K18" i="19"/>
  <c r="C18" i="19"/>
  <c r="D18" i="19"/>
  <c r="I18" i="19"/>
  <c r="E18" i="19"/>
  <c r="B18" i="19"/>
  <c r="F18" i="19"/>
  <c r="K12" i="10"/>
  <c r="AY12" i="10"/>
  <c r="AA12" i="10"/>
  <c r="S12" i="10"/>
  <c r="T12" i="10" s="1"/>
  <c r="U12" i="10" s="1"/>
  <c r="V12" i="10" s="1"/>
  <c r="AA12" i="12"/>
  <c r="BK10" i="3"/>
  <c r="BL10" i="3" s="1"/>
  <c r="BK10" i="12"/>
  <c r="BL10" i="12" s="1"/>
  <c r="BM10" i="12" s="1"/>
  <c r="BK10" i="10"/>
  <c r="BL10" i="10" s="1"/>
  <c r="BM10" i="10" s="1"/>
  <c r="BH7" i="12"/>
  <c r="BI7" i="12" s="1"/>
  <c r="BJ7" i="12" s="1"/>
  <c r="G10" i="12"/>
  <c r="H10" i="12" s="1"/>
  <c r="I10" i="12" s="1"/>
  <c r="G10" i="10"/>
  <c r="H10" i="10" s="1"/>
  <c r="I10" i="10" s="1"/>
  <c r="AU10" i="3"/>
  <c r="AV10" i="3" s="1"/>
  <c r="AW10" i="3" s="1"/>
  <c r="AU10" i="12"/>
  <c r="AV10" i="12" s="1"/>
  <c r="AW10" i="12" s="1"/>
  <c r="AU10" i="10"/>
  <c r="AV10" i="10" s="1"/>
  <c r="AW10" i="10" s="1"/>
  <c r="AB11" i="10"/>
  <c r="AC11" i="10" s="1"/>
  <c r="AD11" i="10" s="1"/>
  <c r="AB10" i="10"/>
  <c r="L8" i="10"/>
  <c r="M8" i="10" s="1"/>
  <c r="N8" i="10" s="1"/>
  <c r="L12" i="10"/>
  <c r="M12" i="10" s="1"/>
  <c r="L7" i="10"/>
  <c r="M7" i="10" s="1"/>
  <c r="R7" i="10" s="1"/>
  <c r="H108" i="10" s="1"/>
  <c r="L10" i="10"/>
  <c r="M10" i="10" s="1"/>
  <c r="N10" i="10" s="1"/>
  <c r="AZ12" i="12"/>
  <c r="BA12" i="12" s="1"/>
  <c r="BB12" i="12" s="1"/>
  <c r="BH10" i="10"/>
  <c r="AJ12" i="12"/>
  <c r="AK12" i="12" s="1"/>
  <c r="AL12" i="12" s="1"/>
  <c r="AZ11" i="10"/>
  <c r="BA11" i="10" s="1"/>
  <c r="BB11" i="10" s="1"/>
  <c r="AZ12" i="10"/>
  <c r="BA12" i="10" s="1"/>
  <c r="BB12" i="10" s="1"/>
  <c r="AZ7" i="10"/>
  <c r="D12" i="12"/>
  <c r="E12" i="12" s="1"/>
  <c r="F12" i="12" s="1"/>
  <c r="D9" i="12"/>
  <c r="E9" i="12" s="1"/>
  <c r="J9" i="12" s="1"/>
  <c r="D110" i="12" s="1"/>
  <c r="AJ11" i="10"/>
  <c r="AK11" i="10" s="1"/>
  <c r="AL11" i="10" s="1"/>
  <c r="AJ12" i="10"/>
  <c r="AK12" i="10" s="1"/>
  <c r="AL12" i="10" s="1"/>
  <c r="AJ10" i="10"/>
  <c r="AK10" i="10" s="1"/>
  <c r="AR7" i="12"/>
  <c r="AS7" i="12" s="1"/>
  <c r="AT7" i="12" s="1"/>
  <c r="AR10" i="12"/>
  <c r="AS10" i="12" s="1"/>
  <c r="AX10" i="12" s="1"/>
  <c r="X111" i="12" s="1"/>
  <c r="L11" i="12"/>
  <c r="M11" i="12" s="1"/>
  <c r="N11" i="12" s="1"/>
  <c r="L10" i="12"/>
  <c r="M10" i="12" s="1"/>
  <c r="N10" i="12" s="1"/>
  <c r="BH9" i="12"/>
  <c r="BI9" i="12" s="1"/>
  <c r="BJ9" i="12" s="1"/>
  <c r="L9" i="10"/>
  <c r="M9" i="10" s="1"/>
  <c r="N9" i="10" s="1"/>
  <c r="AC10" i="10"/>
  <c r="BA7" i="10"/>
  <c r="BB7" i="10" s="1"/>
  <c r="BI10" i="10"/>
  <c r="BH9" i="10"/>
  <c r="BI9" i="10" s="1"/>
  <c r="BJ9" i="10" s="1"/>
  <c r="BH8" i="10"/>
  <c r="BI8" i="10" s="1"/>
  <c r="BJ8" i="10" s="1"/>
  <c r="AJ9" i="12"/>
  <c r="AK9" i="12" s="1"/>
  <c r="AL9" i="12" s="1"/>
  <c r="T11" i="10"/>
  <c r="U11" i="10" s="1"/>
  <c r="AZ8" i="10"/>
  <c r="BA8" i="10" s="1"/>
  <c r="BB8" i="10" s="1"/>
  <c r="AZ10" i="10"/>
  <c r="BA10" i="10" s="1"/>
  <c r="BB10" i="10" s="1"/>
  <c r="AJ9" i="10"/>
  <c r="AK9" i="10" s="1"/>
  <c r="AL9" i="10" s="1"/>
  <c r="D8" i="10"/>
  <c r="E8" i="10" s="1"/>
  <c r="F8" i="10" s="1"/>
  <c r="D7" i="10"/>
  <c r="E7" i="10" s="1"/>
  <c r="L7" i="12"/>
  <c r="M7" i="12" s="1"/>
  <c r="R7" i="12" s="1"/>
  <c r="H108" i="12" s="1"/>
  <c r="L8" i="12"/>
  <c r="M8" i="12" s="1"/>
  <c r="R8" i="12" s="1"/>
  <c r="H109" i="12" s="1"/>
  <c r="AR8" i="10"/>
  <c r="AS8" i="10" s="1"/>
  <c r="AX8" i="10" s="1"/>
  <c r="X109" i="10" s="1"/>
  <c r="AR12" i="10"/>
  <c r="AS12" i="10" s="1"/>
  <c r="AT12" i="10" s="1"/>
  <c r="AR7" i="10"/>
  <c r="AS7" i="10" s="1"/>
  <c r="AR10" i="10"/>
  <c r="AS10" i="10" s="1"/>
  <c r="AX10" i="10" s="1"/>
  <c r="X111" i="10" s="1"/>
  <c r="AM10" i="3"/>
  <c r="AN10" i="3" s="1"/>
  <c r="AO10" i="3" s="1"/>
  <c r="AM10" i="12"/>
  <c r="AN10" i="12" s="1"/>
  <c r="AO10" i="12" s="1"/>
  <c r="AM10" i="10"/>
  <c r="AN10" i="10" s="1"/>
  <c r="AO10" i="10" s="1"/>
  <c r="W10" i="3"/>
  <c r="X10" i="3" s="1"/>
  <c r="Y10" i="3" s="1"/>
  <c r="W10" i="12"/>
  <c r="X10" i="12" s="1"/>
  <c r="Y10" i="12" s="1"/>
  <c r="W10" i="10"/>
  <c r="X10" i="10" s="1"/>
  <c r="Y10" i="10" s="1"/>
  <c r="BH10" i="12"/>
  <c r="BI10" i="12" s="1"/>
  <c r="BJ10" i="12" s="1"/>
  <c r="T7" i="12"/>
  <c r="U7" i="12" s="1"/>
  <c r="V7" i="12" s="1"/>
  <c r="AE10" i="3"/>
  <c r="AF10" i="3" s="1"/>
  <c r="AG10" i="3" s="1"/>
  <c r="AE10" i="12"/>
  <c r="AF10" i="12" s="1"/>
  <c r="AG10" i="12" s="1"/>
  <c r="AE10" i="10"/>
  <c r="AF10" i="10" s="1"/>
  <c r="AG10" i="10" s="1"/>
  <c r="BC10" i="3"/>
  <c r="BD10" i="3" s="1"/>
  <c r="BE10" i="3" s="1"/>
  <c r="BC10" i="12"/>
  <c r="BD10" i="12" s="1"/>
  <c r="BE10" i="12" s="1"/>
  <c r="BC10" i="10"/>
  <c r="BD10" i="10" s="1"/>
  <c r="BE10" i="10" s="1"/>
  <c r="E9" i="3"/>
  <c r="E4" i="22" s="1"/>
  <c r="BH8" i="12"/>
  <c r="BI8" i="12" s="1"/>
  <c r="BN8" i="12" s="1"/>
  <c r="AF109" i="12" s="1"/>
  <c r="BH11" i="12"/>
  <c r="BI11" i="12" s="1"/>
  <c r="BJ11" i="12" s="1"/>
  <c r="T11" i="12"/>
  <c r="U11" i="12" s="1"/>
  <c r="V11" i="12" s="1"/>
  <c r="T8" i="12"/>
  <c r="U8" i="12" s="1"/>
  <c r="Z8" i="12" s="1"/>
  <c r="L109" i="12" s="1"/>
  <c r="T12" i="12"/>
  <c r="U12" i="12" s="1"/>
  <c r="V12" i="12" s="1"/>
  <c r="T10" i="12"/>
  <c r="U10" i="12" s="1"/>
  <c r="V10" i="12" s="1"/>
  <c r="AB9" i="10"/>
  <c r="AC9" i="10" s="1"/>
  <c r="AD9" i="10" s="1"/>
  <c r="AB7" i="10"/>
  <c r="AC7" i="10" s="1"/>
  <c r="L11" i="10"/>
  <c r="M11" i="10" s="1"/>
  <c r="AZ9" i="12"/>
  <c r="BA9" i="12" s="1"/>
  <c r="BB9" i="12" s="1"/>
  <c r="AZ7" i="12"/>
  <c r="BA7" i="12" s="1"/>
  <c r="BB7" i="12" s="1"/>
  <c r="AZ11" i="12"/>
  <c r="BA11" i="12" s="1"/>
  <c r="BB11" i="12" s="1"/>
  <c r="AZ8" i="12"/>
  <c r="BA8" i="12" s="1"/>
  <c r="BF8" i="12" s="1"/>
  <c r="AB109" i="12" s="1"/>
  <c r="AZ10" i="12"/>
  <c r="BA10" i="12" s="1"/>
  <c r="BB10" i="12" s="1"/>
  <c r="BH12" i="10"/>
  <c r="BI12" i="10" s="1"/>
  <c r="BJ12" i="10" s="1"/>
  <c r="BH11" i="10"/>
  <c r="BI11" i="10" s="1"/>
  <c r="AJ10" i="12"/>
  <c r="AK10" i="12" s="1"/>
  <c r="T8" i="10"/>
  <c r="U8" i="10" s="1"/>
  <c r="V8" i="10" s="1"/>
  <c r="T7" i="10"/>
  <c r="U7" i="10" s="1"/>
  <c r="D10" i="12"/>
  <c r="E10" i="12" s="1"/>
  <c r="J10" i="12" s="1"/>
  <c r="D111" i="12" s="1"/>
  <c r="D8" i="12"/>
  <c r="E8" i="12" s="1"/>
  <c r="J8" i="12" s="1"/>
  <c r="D109" i="12" s="1"/>
  <c r="AR8" i="12"/>
  <c r="AS8" i="12" s="1"/>
  <c r="AX8" i="12" s="1"/>
  <c r="X109" i="12" s="1"/>
  <c r="D11" i="10"/>
  <c r="E11" i="10" s="1"/>
  <c r="D12" i="10"/>
  <c r="E12" i="10" s="1"/>
  <c r="F12" i="10" s="1"/>
  <c r="D10" i="10"/>
  <c r="E10" i="10" s="1"/>
  <c r="AB7" i="12"/>
  <c r="AC7" i="12" s="1"/>
  <c r="AH7" i="12" s="1"/>
  <c r="P108" i="12" s="1"/>
  <c r="AB9" i="12"/>
  <c r="AC9" i="12" s="1"/>
  <c r="AH9" i="12" s="1"/>
  <c r="P110" i="12" s="1"/>
  <c r="AB10" i="12"/>
  <c r="AC10" i="12" s="1"/>
  <c r="AR11" i="10"/>
  <c r="AS11" i="10" s="1"/>
  <c r="AR9" i="10"/>
  <c r="AS9" i="10" s="1"/>
  <c r="AX9" i="10" s="1"/>
  <c r="X110" i="10" s="1"/>
  <c r="O10" i="12"/>
  <c r="P10" i="12" s="1"/>
  <c r="Q10" i="12" s="1"/>
  <c r="O10" i="10"/>
  <c r="P10" i="10" s="1"/>
  <c r="Q10" i="10" s="1"/>
  <c r="A13" i="12"/>
  <c r="A13" i="10"/>
  <c r="BH12" i="12"/>
  <c r="BI12" i="12" s="1"/>
  <c r="BJ12" i="12" s="1"/>
  <c r="T9" i="12"/>
  <c r="U9" i="12" s="1"/>
  <c r="V9" i="12" s="1"/>
  <c r="AB12" i="10"/>
  <c r="AC12" i="10" s="1"/>
  <c r="AD12" i="10" s="1"/>
  <c r="AB8" i="10"/>
  <c r="AC8" i="10" s="1"/>
  <c r="AH8" i="10" s="1"/>
  <c r="P109" i="10" s="1"/>
  <c r="BH7" i="10"/>
  <c r="BI7" i="10" s="1"/>
  <c r="AJ7" i="12"/>
  <c r="AK7" i="12" s="1"/>
  <c r="AP7" i="12" s="1"/>
  <c r="T108" i="12" s="1"/>
  <c r="AJ11" i="12"/>
  <c r="AK11" i="12" s="1"/>
  <c r="AL11" i="12" s="1"/>
  <c r="AJ8" i="12"/>
  <c r="AK8" i="12" s="1"/>
  <c r="AP8" i="12" s="1"/>
  <c r="T109" i="12" s="1"/>
  <c r="T9" i="10"/>
  <c r="U9" i="10" s="1"/>
  <c r="Z9" i="10" s="1"/>
  <c r="L110" i="10" s="1"/>
  <c r="T10" i="10"/>
  <c r="U10" i="10" s="1"/>
  <c r="AZ9" i="10"/>
  <c r="BA9" i="10" s="1"/>
  <c r="BF9" i="10" s="1"/>
  <c r="AB110" i="10" s="1"/>
  <c r="D11" i="12"/>
  <c r="E11" i="12" s="1"/>
  <c r="F11" i="12" s="1"/>
  <c r="D7" i="12"/>
  <c r="E7" i="12" s="1"/>
  <c r="J7" i="12" s="1"/>
  <c r="D108" i="12" s="1"/>
  <c r="AJ8" i="10"/>
  <c r="AK8" i="10" s="1"/>
  <c r="AP8" i="10" s="1"/>
  <c r="T109" i="10" s="1"/>
  <c r="AJ7" i="10"/>
  <c r="AK7" i="10" s="1"/>
  <c r="AR9" i="12"/>
  <c r="AS9" i="12" s="1"/>
  <c r="AT9" i="12" s="1"/>
  <c r="AR11" i="12"/>
  <c r="AS11" i="12" s="1"/>
  <c r="AT11" i="12" s="1"/>
  <c r="AR12" i="12"/>
  <c r="AS12" i="12" s="1"/>
  <c r="AT12" i="12" s="1"/>
  <c r="D9" i="10"/>
  <c r="E9" i="10" s="1"/>
  <c r="F9" i="10" s="1"/>
  <c r="AB8" i="12"/>
  <c r="AC8" i="12" s="1"/>
  <c r="AH8" i="12" s="1"/>
  <c r="P109" i="12" s="1"/>
  <c r="AB11" i="12"/>
  <c r="AC11" i="12" s="1"/>
  <c r="AD11" i="12" s="1"/>
  <c r="AB12" i="12"/>
  <c r="AC12" i="12" s="1"/>
  <c r="AD12" i="12" s="1"/>
  <c r="L12" i="12"/>
  <c r="M12" i="12" s="1"/>
  <c r="L9" i="12"/>
  <c r="M9" i="12" s="1"/>
  <c r="N9" i="12" s="1"/>
  <c r="J7" i="3"/>
  <c r="D108" i="3" s="1"/>
  <c r="R7" i="3"/>
  <c r="H108" i="3" s="1"/>
  <c r="N7" i="3"/>
  <c r="A27" i="2"/>
  <c r="A13" i="3"/>
  <c r="BM10" i="3"/>
  <c r="Q23" i="2"/>
  <c r="O10" i="3"/>
  <c r="P10" i="3" s="1"/>
  <c r="Q10" i="3" s="1"/>
  <c r="K23" i="2"/>
  <c r="L23" i="2" s="1"/>
  <c r="G10" i="3"/>
  <c r="H10" i="3" s="1"/>
  <c r="I10" i="3" s="1"/>
  <c r="J10" i="3" s="1"/>
  <c r="D111" i="3" s="1"/>
  <c r="C11" i="3"/>
  <c r="AY11" i="3"/>
  <c r="S11" i="3"/>
  <c r="AQ11" i="3"/>
  <c r="AR11" i="3" s="1"/>
  <c r="AS11" i="3" s="1"/>
  <c r="AI11" i="3"/>
  <c r="AJ11" i="3" s="1"/>
  <c r="AK11" i="3" s="1"/>
  <c r="K11" i="3"/>
  <c r="L11" i="3" s="1"/>
  <c r="M11" i="3" s="1"/>
  <c r="AA11" i="3"/>
  <c r="AB11" i="3" s="1"/>
  <c r="AC11" i="3" s="1"/>
  <c r="F10" i="3"/>
  <c r="F8" i="3"/>
  <c r="J8" i="3"/>
  <c r="D109" i="3" s="1"/>
  <c r="F7" i="3"/>
  <c r="BA23" i="2"/>
  <c r="AO23" i="2"/>
  <c r="AI23" i="2"/>
  <c r="W23" i="2"/>
  <c r="AC23" i="2"/>
  <c r="AU23" i="2"/>
  <c r="T8" i="3"/>
  <c r="U8" i="3" s="1"/>
  <c r="AR9" i="3"/>
  <c r="AS9" i="3" s="1"/>
  <c r="B17" i="4"/>
  <c r="A16" i="4"/>
  <c r="AW21" i="2"/>
  <c r="AY21" i="2" s="1"/>
  <c r="AZ21" i="2" s="1"/>
  <c r="AW22" i="2"/>
  <c r="AY22" i="2" s="1"/>
  <c r="AZ22" i="2" s="1"/>
  <c r="AW23" i="2"/>
  <c r="AW20" i="2"/>
  <c r="AY20" i="2" s="1"/>
  <c r="AZ20" i="2" s="1"/>
  <c r="T10" i="3"/>
  <c r="U10" i="3" s="1"/>
  <c r="BH8" i="3"/>
  <c r="BI8" i="3" s="1"/>
  <c r="BH10" i="3"/>
  <c r="BI10" i="3" s="1"/>
  <c r="L9" i="3"/>
  <c r="M9" i="3" s="1"/>
  <c r="AR8" i="3"/>
  <c r="AS8" i="3" s="1"/>
  <c r="BC23" i="2"/>
  <c r="BC20" i="2"/>
  <c r="BE20" i="2" s="1"/>
  <c r="BF20" i="2" s="1"/>
  <c r="BC21" i="2"/>
  <c r="BE21" i="2" s="1"/>
  <c r="BF21" i="2" s="1"/>
  <c r="BC22" i="2"/>
  <c r="BE22" i="2" s="1"/>
  <c r="BF22" i="2" s="1"/>
  <c r="AZ7" i="3"/>
  <c r="BA7" i="3" s="1"/>
  <c r="AZ10" i="3"/>
  <c r="BA10" i="3" s="1"/>
  <c r="AJ8" i="3"/>
  <c r="AK8" i="3" s="1"/>
  <c r="Y21" i="2"/>
  <c r="AA21" i="2" s="1"/>
  <c r="AB21" i="2" s="1"/>
  <c r="Y22" i="2"/>
  <c r="AA22" i="2" s="1"/>
  <c r="AB22" i="2" s="1"/>
  <c r="Y23" i="2"/>
  <c r="Y20" i="2"/>
  <c r="AA20" i="2" s="1"/>
  <c r="AB20" i="2" s="1"/>
  <c r="M21" i="2"/>
  <c r="M22" i="2"/>
  <c r="M23" i="2"/>
  <c r="N23" i="2" s="1"/>
  <c r="M20" i="2"/>
  <c r="U7" i="3"/>
  <c r="AB7" i="3"/>
  <c r="AC7" i="3" s="1"/>
  <c r="BH9" i="3"/>
  <c r="BI9" i="3" s="1"/>
  <c r="BG12" i="3"/>
  <c r="BH12" i="3" s="1"/>
  <c r="BI12" i="3" s="1"/>
  <c r="C24" i="2"/>
  <c r="F24" i="2"/>
  <c r="B24" i="2"/>
  <c r="I24" i="2"/>
  <c r="E24" i="2"/>
  <c r="H24" i="2"/>
  <c r="D24" i="2"/>
  <c r="T9" i="3"/>
  <c r="U9" i="3" s="1"/>
  <c r="AB9" i="3"/>
  <c r="AC9" i="3" s="1"/>
  <c r="BH7" i="3"/>
  <c r="BI7" i="3" s="1"/>
  <c r="L10" i="3"/>
  <c r="M10" i="3" s="1"/>
  <c r="AQ23" i="2"/>
  <c r="AQ20" i="2"/>
  <c r="AS20" i="2" s="1"/>
  <c r="AT20" i="2" s="1"/>
  <c r="AQ21" i="2"/>
  <c r="AS21" i="2" s="1"/>
  <c r="AT21" i="2" s="1"/>
  <c r="AQ22" i="2"/>
  <c r="AS22" i="2" s="1"/>
  <c r="AT22" i="2" s="1"/>
  <c r="AE23" i="2"/>
  <c r="AE20" i="2"/>
  <c r="AG20" i="2" s="1"/>
  <c r="AH20" i="2" s="1"/>
  <c r="AE21" i="2"/>
  <c r="AG21" i="2" s="1"/>
  <c r="AH21" i="2" s="1"/>
  <c r="AE22" i="2"/>
  <c r="AG22" i="2" s="1"/>
  <c r="AH22" i="2" s="1"/>
  <c r="AB8" i="3"/>
  <c r="AC8" i="3" s="1"/>
  <c r="BH11" i="3"/>
  <c r="BI11" i="3" s="1"/>
  <c r="AK21" i="2"/>
  <c r="AM21" i="2" s="1"/>
  <c r="AN21" i="2" s="1"/>
  <c r="AK22" i="2"/>
  <c r="AM22" i="2" s="1"/>
  <c r="AN22" i="2" s="1"/>
  <c r="AK23" i="2"/>
  <c r="AK20" i="2"/>
  <c r="AM20" i="2" s="1"/>
  <c r="AN20" i="2" s="1"/>
  <c r="L8" i="3"/>
  <c r="M8" i="3" s="1"/>
  <c r="AR10" i="3"/>
  <c r="AS10" i="3" s="1"/>
  <c r="AR7" i="3"/>
  <c r="AS7" i="3" s="1"/>
  <c r="F15" i="4"/>
  <c r="I15" i="4"/>
  <c r="L15" i="4"/>
  <c r="C15" i="4"/>
  <c r="AJ7" i="3"/>
  <c r="AK7" i="3" s="1"/>
  <c r="AJ9" i="3"/>
  <c r="AK9" i="3" s="1"/>
  <c r="S23" i="2"/>
  <c r="S20" i="2"/>
  <c r="U20" i="2" s="1"/>
  <c r="V20" i="2" s="1"/>
  <c r="S21" i="2"/>
  <c r="U21" i="2" s="1"/>
  <c r="V21" i="2" s="1"/>
  <c r="S22" i="2"/>
  <c r="U22" i="2" s="1"/>
  <c r="V22" i="2" s="1"/>
  <c r="AB10" i="3"/>
  <c r="AC10" i="3" s="1"/>
  <c r="AZ8" i="3"/>
  <c r="BA8" i="3" s="1"/>
  <c r="AZ9" i="3"/>
  <c r="BA9" i="3" s="1"/>
  <c r="AJ10" i="3"/>
  <c r="AK10" i="3" s="1"/>
  <c r="J9" i="3" l="1"/>
  <c r="D110" i="3" s="1"/>
  <c r="F9" i="3"/>
  <c r="AP10" i="12"/>
  <c r="T111" i="12" s="1"/>
  <c r="BN7" i="12"/>
  <c r="AF108" i="12" s="1"/>
  <c r="N8" i="12"/>
  <c r="J8" i="10"/>
  <c r="D109" i="10" s="1"/>
  <c r="D11" i="3"/>
  <c r="E11" i="3" s="1"/>
  <c r="F11" i="3" s="1"/>
  <c r="Z10" i="10"/>
  <c r="L111" i="10" s="1"/>
  <c r="AH10" i="12"/>
  <c r="P111" i="12" s="1"/>
  <c r="F10" i="12"/>
  <c r="AL10" i="12"/>
  <c r="AT8" i="10"/>
  <c r="A20" i="19"/>
  <c r="K19" i="19"/>
  <c r="I19" i="19"/>
  <c r="J19" i="19"/>
  <c r="L19" i="19"/>
  <c r="B19" i="19"/>
  <c r="F19" i="19"/>
  <c r="C19" i="19"/>
  <c r="D19" i="19"/>
  <c r="H19" i="19"/>
  <c r="E19" i="19"/>
  <c r="AL8" i="10"/>
  <c r="BF9" i="12"/>
  <c r="AB110" i="12" s="1"/>
  <c r="BN10" i="10"/>
  <c r="AF111" i="10" s="1"/>
  <c r="AL7" i="12"/>
  <c r="BJ8" i="12"/>
  <c r="BN9" i="10"/>
  <c r="AF110" i="10" s="1"/>
  <c r="AX7" i="12"/>
  <c r="X108" i="12" s="1"/>
  <c r="AX7" i="10"/>
  <c r="X108" i="10" s="1"/>
  <c r="AT7" i="10"/>
  <c r="AH7" i="10"/>
  <c r="P108" i="10" s="1"/>
  <c r="AD7" i="10"/>
  <c r="AH10" i="10"/>
  <c r="P111" i="10" s="1"/>
  <c r="AX11" i="12"/>
  <c r="X112" i="12" s="1"/>
  <c r="AL8" i="12"/>
  <c r="BB8" i="12"/>
  <c r="Z7" i="12"/>
  <c r="L108" i="12" s="1"/>
  <c r="AP9" i="12"/>
  <c r="T110" i="12" s="1"/>
  <c r="R8" i="10"/>
  <c r="H109" i="10" s="1"/>
  <c r="AT8" i="12"/>
  <c r="V8" i="12"/>
  <c r="N7" i="10"/>
  <c r="BE23" i="2"/>
  <c r="BF23" i="2" s="1"/>
  <c r="AE111" i="10" s="1"/>
  <c r="AG111" i="10" s="1"/>
  <c r="AH111" i="10" s="1"/>
  <c r="R9" i="12"/>
  <c r="H110" i="12" s="1"/>
  <c r="AX9" i="12"/>
  <c r="X110" i="12" s="1"/>
  <c r="BB9" i="10"/>
  <c r="V9" i="10"/>
  <c r="AD8" i="10"/>
  <c r="BF10" i="12"/>
  <c r="AB111" i="12" s="1"/>
  <c r="BN10" i="12"/>
  <c r="AF111" i="12" s="1"/>
  <c r="BN8" i="10"/>
  <c r="AF109" i="10" s="1"/>
  <c r="AP7" i="10"/>
  <c r="T108" i="10" s="1"/>
  <c r="AL7" i="10"/>
  <c r="BN7" i="10"/>
  <c r="AF108" i="10" s="1"/>
  <c r="BJ7" i="10"/>
  <c r="N11" i="10"/>
  <c r="F7" i="10"/>
  <c r="J7" i="10"/>
  <c r="D108" i="10" s="1"/>
  <c r="AT11" i="10"/>
  <c r="AX11" i="10"/>
  <c r="X112" i="10" s="1"/>
  <c r="J10" i="10"/>
  <c r="D111" i="10" s="1"/>
  <c r="F10" i="10"/>
  <c r="V7" i="10"/>
  <c r="Z7" i="10"/>
  <c r="L108" i="10" s="1"/>
  <c r="BJ11" i="10"/>
  <c r="V11" i="10"/>
  <c r="F11" i="10"/>
  <c r="G108" i="12"/>
  <c r="I108" i="12" s="1"/>
  <c r="G108" i="10"/>
  <c r="I108" i="10" s="1"/>
  <c r="J108" i="10" s="1"/>
  <c r="G108" i="3"/>
  <c r="I108" i="3" s="1"/>
  <c r="J108" i="3" s="1"/>
  <c r="S110" i="12"/>
  <c r="U110" i="12" s="1"/>
  <c r="V110" i="12" s="1"/>
  <c r="S110" i="10"/>
  <c r="S110" i="3"/>
  <c r="O110" i="12"/>
  <c r="O110" i="10"/>
  <c r="O110" i="3"/>
  <c r="W110" i="12"/>
  <c r="Y110" i="12" s="1"/>
  <c r="Z110" i="12" s="1"/>
  <c r="W110" i="10"/>
  <c r="Y110" i="10" s="1"/>
  <c r="Z110" i="10" s="1"/>
  <c r="W110" i="3"/>
  <c r="W11" i="3"/>
  <c r="X11" i="3" s="1"/>
  <c r="Y11" i="3" s="1"/>
  <c r="W11" i="12"/>
  <c r="X11" i="12" s="1"/>
  <c r="Y11" i="12" s="1"/>
  <c r="Z11" i="12" s="1"/>
  <c r="L112" i="12" s="1"/>
  <c r="W11" i="10"/>
  <c r="X11" i="10" s="1"/>
  <c r="Y11" i="10" s="1"/>
  <c r="Z11" i="10" s="1"/>
  <c r="L112" i="10" s="1"/>
  <c r="G11" i="12"/>
  <c r="H11" i="12" s="1"/>
  <c r="I11" i="12" s="1"/>
  <c r="J11" i="12" s="1"/>
  <c r="D112" i="12" s="1"/>
  <c r="G11" i="10"/>
  <c r="H11" i="10" s="1"/>
  <c r="I11" i="10" s="1"/>
  <c r="J11" i="10" s="1"/>
  <c r="D112" i="10" s="1"/>
  <c r="AE108" i="12"/>
  <c r="AG108" i="12" s="1"/>
  <c r="AE108" i="10"/>
  <c r="AG108" i="10" s="1"/>
  <c r="AE108" i="3"/>
  <c r="J9" i="10"/>
  <c r="D110" i="10" s="1"/>
  <c r="V10" i="10"/>
  <c r="AT9" i="10"/>
  <c r="AD10" i="12"/>
  <c r="AD7" i="12"/>
  <c r="BF7" i="12"/>
  <c r="AB108" i="12" s="1"/>
  <c r="Z10" i="12"/>
  <c r="L111" i="12" s="1"/>
  <c r="AT10" i="10"/>
  <c r="BF10" i="10"/>
  <c r="AB111" i="10" s="1"/>
  <c r="R9" i="10"/>
  <c r="H110" i="10" s="1"/>
  <c r="R10" i="12"/>
  <c r="H111" i="12" s="1"/>
  <c r="AT10" i="12"/>
  <c r="N12" i="10"/>
  <c r="BK11" i="3"/>
  <c r="BL11" i="3" s="1"/>
  <c r="BM11" i="3" s="1"/>
  <c r="BK11" i="12"/>
  <c r="BL11" i="12" s="1"/>
  <c r="BM11" i="12" s="1"/>
  <c r="BK11" i="10"/>
  <c r="BL11" i="10" s="1"/>
  <c r="BM11" i="10" s="1"/>
  <c r="BN11" i="10" s="1"/>
  <c r="AF112" i="10" s="1"/>
  <c r="W109" i="12"/>
  <c r="Y109" i="12" s="1"/>
  <c r="Z109" i="12" s="1"/>
  <c r="W109" i="10"/>
  <c r="Y109" i="10" s="1"/>
  <c r="Z109" i="10" s="1"/>
  <c r="W109" i="3"/>
  <c r="AM11" i="12"/>
  <c r="AN11" i="12" s="1"/>
  <c r="AO11" i="12" s="1"/>
  <c r="AP11" i="12" s="1"/>
  <c r="T112" i="12" s="1"/>
  <c r="AM11" i="10"/>
  <c r="AN11" i="10" s="1"/>
  <c r="AO11" i="10" s="1"/>
  <c r="AP11" i="10" s="1"/>
  <c r="T112" i="10" s="1"/>
  <c r="AA110" i="12"/>
  <c r="AA110" i="10"/>
  <c r="AC110" i="10" s="1"/>
  <c r="AD110" i="10" s="1"/>
  <c r="AA110" i="3"/>
  <c r="N12" i="12"/>
  <c r="BF8" i="10"/>
  <c r="AB109" i="10" s="1"/>
  <c r="AP10" i="10"/>
  <c r="T111" i="10" s="1"/>
  <c r="BJ10" i="10"/>
  <c r="AD10" i="10"/>
  <c r="G110" i="12"/>
  <c r="G110" i="10"/>
  <c r="I110" i="10" s="1"/>
  <c r="J110" i="10" s="1"/>
  <c r="G110" i="3"/>
  <c r="S109" i="12"/>
  <c r="U109" i="12" s="1"/>
  <c r="V109" i="12" s="1"/>
  <c r="S109" i="10"/>
  <c r="U109" i="10" s="1"/>
  <c r="V109" i="10" s="1"/>
  <c r="S109" i="3"/>
  <c r="O109" i="12"/>
  <c r="Q109" i="12" s="1"/>
  <c r="R109" i="12" s="1"/>
  <c r="O109" i="10"/>
  <c r="Q109" i="10" s="1"/>
  <c r="R109" i="10" s="1"/>
  <c r="O109" i="3"/>
  <c r="BC11" i="3"/>
  <c r="BD11" i="3" s="1"/>
  <c r="BE11" i="3" s="1"/>
  <c r="BC11" i="12"/>
  <c r="BD11" i="12" s="1"/>
  <c r="BE11" i="12" s="1"/>
  <c r="BC11" i="10"/>
  <c r="BD11" i="10" s="1"/>
  <c r="BE11" i="10" s="1"/>
  <c r="BF11" i="10" s="1"/>
  <c r="AB112" i="10" s="1"/>
  <c r="K110" i="12"/>
  <c r="K110" i="10"/>
  <c r="M110" i="10" s="1"/>
  <c r="N110" i="10" s="1"/>
  <c r="K110" i="3"/>
  <c r="AE111" i="12"/>
  <c r="AG111" i="12" s="1"/>
  <c r="AH111" i="12" s="1"/>
  <c r="AD8" i="12"/>
  <c r="F8" i="12"/>
  <c r="Z8" i="10"/>
  <c r="L109" i="10" s="1"/>
  <c r="AL10" i="10"/>
  <c r="G109" i="12"/>
  <c r="I109" i="12" s="1"/>
  <c r="J109" i="12" s="1"/>
  <c r="G109" i="10"/>
  <c r="I109" i="10" s="1"/>
  <c r="J109" i="10" s="1"/>
  <c r="G109" i="3"/>
  <c r="S108" i="12"/>
  <c r="U108" i="12" s="1"/>
  <c r="S108" i="10"/>
  <c r="U108" i="10" s="1"/>
  <c r="S108" i="3"/>
  <c r="O108" i="12"/>
  <c r="Q108" i="12" s="1"/>
  <c r="O108" i="10"/>
  <c r="Q108" i="10" s="1"/>
  <c r="O108" i="3"/>
  <c r="W108" i="12"/>
  <c r="Y108" i="12" s="1"/>
  <c r="W108" i="10"/>
  <c r="W108" i="3"/>
  <c r="AE11" i="12"/>
  <c r="AF11" i="12" s="1"/>
  <c r="AG11" i="12" s="1"/>
  <c r="AH11" i="12" s="1"/>
  <c r="P112" i="12" s="1"/>
  <c r="AE11" i="10"/>
  <c r="AF11" i="10" s="1"/>
  <c r="AG11" i="10" s="1"/>
  <c r="AH11" i="10" s="1"/>
  <c r="P112" i="10" s="1"/>
  <c r="O11" i="12"/>
  <c r="P11" i="12" s="1"/>
  <c r="Q11" i="12" s="1"/>
  <c r="O11" i="10"/>
  <c r="P11" i="10" s="1"/>
  <c r="Q11" i="10" s="1"/>
  <c r="R11" i="10" s="1"/>
  <c r="H112" i="10" s="1"/>
  <c r="K109" i="12"/>
  <c r="M109" i="12" s="1"/>
  <c r="N109" i="12" s="1"/>
  <c r="K109" i="10"/>
  <c r="K109" i="3"/>
  <c r="AE110" i="12"/>
  <c r="AE110" i="10"/>
  <c r="AG110" i="10" s="1"/>
  <c r="AH110" i="10" s="1"/>
  <c r="AE110" i="3"/>
  <c r="AA109" i="12"/>
  <c r="AC109" i="12" s="1"/>
  <c r="AD109" i="12" s="1"/>
  <c r="AA109" i="10"/>
  <c r="AC109" i="10" s="1"/>
  <c r="AD109" i="10" s="1"/>
  <c r="AA109" i="3"/>
  <c r="F7" i="12"/>
  <c r="Z9" i="12"/>
  <c r="L110" i="12" s="1"/>
  <c r="AQ13" i="10"/>
  <c r="C13" i="10"/>
  <c r="AY13" i="10"/>
  <c r="S13" i="10"/>
  <c r="K13" i="10"/>
  <c r="AA13" i="10"/>
  <c r="AI13" i="10"/>
  <c r="BG13" i="10"/>
  <c r="AD9" i="12"/>
  <c r="AH9" i="10"/>
  <c r="P110" i="10" s="1"/>
  <c r="BN11" i="12"/>
  <c r="AF112" i="12" s="1"/>
  <c r="N7" i="12"/>
  <c r="AP9" i="10"/>
  <c r="T110" i="10" s="1"/>
  <c r="BN9" i="12"/>
  <c r="AF110" i="12" s="1"/>
  <c r="R11" i="12"/>
  <c r="H112" i="12" s="1"/>
  <c r="F9" i="12"/>
  <c r="BF7" i="10"/>
  <c r="AB108" i="10" s="1"/>
  <c r="R10" i="10"/>
  <c r="H111" i="10" s="1"/>
  <c r="K108" i="12"/>
  <c r="M108" i="12" s="1"/>
  <c r="K108" i="10"/>
  <c r="M108" i="10" s="1"/>
  <c r="K108" i="3"/>
  <c r="AE109" i="12"/>
  <c r="AG109" i="12" s="1"/>
  <c r="AH109" i="12" s="1"/>
  <c r="AE109" i="10"/>
  <c r="AG109" i="10" s="1"/>
  <c r="AH109" i="10" s="1"/>
  <c r="AE109" i="3"/>
  <c r="AA108" i="12"/>
  <c r="AC108" i="12" s="1"/>
  <c r="AA108" i="10"/>
  <c r="AA108" i="3"/>
  <c r="A14" i="12"/>
  <c r="A14" i="10"/>
  <c r="AI13" i="12"/>
  <c r="K13" i="12"/>
  <c r="AQ13" i="12"/>
  <c r="BG13" i="12"/>
  <c r="AA13" i="12"/>
  <c r="C13" i="12"/>
  <c r="AY13" i="12"/>
  <c r="S13" i="12"/>
  <c r="Q110" i="12"/>
  <c r="R110" i="12" s="1"/>
  <c r="BF11" i="12"/>
  <c r="AB112" i="12" s="1"/>
  <c r="BB7" i="3"/>
  <c r="BB8" i="3"/>
  <c r="Z9" i="3"/>
  <c r="L110" i="3" s="1"/>
  <c r="Z7" i="3"/>
  <c r="L108" i="3" s="1"/>
  <c r="V7" i="3"/>
  <c r="Z10" i="3"/>
  <c r="L111" i="3" s="1"/>
  <c r="N11" i="3"/>
  <c r="AL7" i="3"/>
  <c r="N10" i="3"/>
  <c r="BJ12" i="3"/>
  <c r="AL8" i="3"/>
  <c r="N9" i="3"/>
  <c r="Z8" i="3"/>
  <c r="L109" i="3" s="1"/>
  <c r="AL11" i="3"/>
  <c r="BJ11" i="3"/>
  <c r="AH7" i="3"/>
  <c r="P108" i="3" s="1"/>
  <c r="AL10" i="3"/>
  <c r="AL9" i="3"/>
  <c r="N8" i="3"/>
  <c r="BJ7" i="3"/>
  <c r="BB10" i="3"/>
  <c r="BJ10" i="3"/>
  <c r="BG20" i="2"/>
  <c r="U23" i="2"/>
  <c r="V23" i="2" s="1"/>
  <c r="AG23" i="2"/>
  <c r="AH23" i="2" s="1"/>
  <c r="BN7" i="3"/>
  <c r="AF108" i="3" s="1"/>
  <c r="A28" i="2"/>
  <c r="A14" i="3"/>
  <c r="BF7" i="3"/>
  <c r="AB108" i="3" s="1"/>
  <c r="K24" i="2"/>
  <c r="G11" i="3"/>
  <c r="H11" i="3" s="1"/>
  <c r="I11" i="3" s="1"/>
  <c r="J11" i="3" s="1"/>
  <c r="D112" i="3" s="1"/>
  <c r="AZ11" i="3"/>
  <c r="BA11" i="3" s="1"/>
  <c r="BN11" i="3"/>
  <c r="AF112" i="3" s="1"/>
  <c r="AK24" i="2"/>
  <c r="AM11" i="3"/>
  <c r="AN11" i="3" s="1"/>
  <c r="AO11" i="3" s="1"/>
  <c r="BF10" i="3"/>
  <c r="AB111" i="3" s="1"/>
  <c r="BN10" i="3"/>
  <c r="AF111" i="3" s="1"/>
  <c r="AM23" i="2"/>
  <c r="AN23" i="2" s="1"/>
  <c r="AE24" i="2"/>
  <c r="AE11" i="3"/>
  <c r="AF11" i="3" s="1"/>
  <c r="AG11" i="3" s="1"/>
  <c r="AH11" i="3" s="1"/>
  <c r="P112" i="3" s="1"/>
  <c r="Q24" i="2"/>
  <c r="O11" i="3"/>
  <c r="P11" i="3" s="1"/>
  <c r="Q11" i="3" s="1"/>
  <c r="BJ9" i="3"/>
  <c r="BN9" i="3"/>
  <c r="AF110" i="3" s="1"/>
  <c r="BJ8" i="3"/>
  <c r="BN8" i="3"/>
  <c r="AF109" i="3" s="1"/>
  <c r="BB9" i="3"/>
  <c r="BF9" i="3"/>
  <c r="AB110" i="3" s="1"/>
  <c r="AQ24" i="2"/>
  <c r="AU11" i="3"/>
  <c r="AV11" i="3" s="1"/>
  <c r="AW11" i="3" s="1"/>
  <c r="AX11" i="3" s="1"/>
  <c r="X112" i="3" s="1"/>
  <c r="BF8" i="3"/>
  <c r="AB109" i="3" s="1"/>
  <c r="C12" i="3"/>
  <c r="AI12" i="3"/>
  <c r="S12" i="3"/>
  <c r="AQ12" i="3"/>
  <c r="AR12" i="3" s="1"/>
  <c r="AS12" i="3" s="1"/>
  <c r="AY12" i="3"/>
  <c r="AZ12" i="3" s="1"/>
  <c r="BA12" i="3" s="1"/>
  <c r="K12" i="3"/>
  <c r="L12" i="3" s="1"/>
  <c r="M12" i="3" s="1"/>
  <c r="AA12" i="3"/>
  <c r="AB12" i="3" s="1"/>
  <c r="AC12" i="3" s="1"/>
  <c r="AP11" i="3"/>
  <c r="T112" i="3" s="1"/>
  <c r="AP7" i="3"/>
  <c r="T108" i="3" s="1"/>
  <c r="T11" i="3"/>
  <c r="U11" i="3" s="1"/>
  <c r="AP9" i="3"/>
  <c r="T110" i="3" s="1"/>
  <c r="AP10" i="3"/>
  <c r="T111" i="3" s="1"/>
  <c r="AP8" i="3"/>
  <c r="T109" i="3" s="1"/>
  <c r="AT11" i="3"/>
  <c r="AT10" i="3"/>
  <c r="AX10" i="3"/>
  <c r="X111" i="3" s="1"/>
  <c r="AT8" i="3"/>
  <c r="AX8" i="3"/>
  <c r="X109" i="3" s="1"/>
  <c r="AT9" i="3"/>
  <c r="AX9" i="3"/>
  <c r="X110" i="3" s="1"/>
  <c r="AX7" i="3"/>
  <c r="X108" i="3" s="1"/>
  <c r="AD9" i="3"/>
  <c r="AH9" i="3"/>
  <c r="P110" i="3" s="1"/>
  <c r="AD11" i="3"/>
  <c r="AD10" i="3"/>
  <c r="AH10" i="3"/>
  <c r="P111" i="3" s="1"/>
  <c r="AD8" i="3"/>
  <c r="AH8" i="3"/>
  <c r="P109" i="3" s="1"/>
  <c r="V10" i="3"/>
  <c r="V8" i="3"/>
  <c r="V9" i="3"/>
  <c r="R10" i="3"/>
  <c r="H111" i="3" s="1"/>
  <c r="R11" i="3"/>
  <c r="H112" i="3" s="1"/>
  <c r="R9" i="3"/>
  <c r="H110" i="3" s="1"/>
  <c r="R8" i="3"/>
  <c r="H109" i="3" s="1"/>
  <c r="AS23" i="2"/>
  <c r="AT23" i="2" s="1"/>
  <c r="AY23" i="2"/>
  <c r="AZ23" i="2" s="1"/>
  <c r="S24" i="2"/>
  <c r="AA23" i="2"/>
  <c r="AB23" i="2" s="1"/>
  <c r="BG23" i="2"/>
  <c r="AU24" i="2"/>
  <c r="AC24" i="2"/>
  <c r="BG22" i="2"/>
  <c r="AI24" i="2"/>
  <c r="AM24" i="2" s="1"/>
  <c r="AN24" i="2" s="1"/>
  <c r="BA24" i="2"/>
  <c r="AO24" i="2"/>
  <c r="BG21" i="2"/>
  <c r="W24" i="2"/>
  <c r="Y24" i="2"/>
  <c r="AW24" i="2"/>
  <c r="O23" i="2"/>
  <c r="P23" i="2" s="1"/>
  <c r="M24" i="2"/>
  <c r="N24" i="2" s="1"/>
  <c r="L24" i="2"/>
  <c r="I25" i="2"/>
  <c r="E25" i="2"/>
  <c r="H25" i="2"/>
  <c r="D25" i="2"/>
  <c r="BG13" i="3"/>
  <c r="BH13" i="3" s="1"/>
  <c r="BI13" i="3" s="1"/>
  <c r="G25" i="2"/>
  <c r="C25" i="2"/>
  <c r="F25" i="2"/>
  <c r="B25" i="2"/>
  <c r="O21" i="2"/>
  <c r="P21" i="2" s="1"/>
  <c r="N21" i="2"/>
  <c r="BC24" i="2"/>
  <c r="L16" i="4"/>
  <c r="F16" i="4"/>
  <c r="C16" i="4"/>
  <c r="I16" i="4"/>
  <c r="N20" i="2"/>
  <c r="O20" i="2"/>
  <c r="P20" i="2" s="1"/>
  <c r="O22" i="2"/>
  <c r="P22" i="2" s="1"/>
  <c r="N22" i="2"/>
  <c r="A17" i="4"/>
  <c r="B18" i="4"/>
  <c r="AE111" i="3" l="1"/>
  <c r="AG111" i="3"/>
  <c r="AH111" i="3" s="1"/>
  <c r="I110" i="12"/>
  <c r="J110" i="12" s="1"/>
  <c r="AC110" i="12"/>
  <c r="AD110" i="12" s="1"/>
  <c r="M109" i="10"/>
  <c r="N109" i="10" s="1"/>
  <c r="AC108" i="10"/>
  <c r="D12" i="3"/>
  <c r="E12" i="3" s="1"/>
  <c r="E7" i="22" s="1"/>
  <c r="E6" i="22"/>
  <c r="A21" i="19"/>
  <c r="J20" i="19"/>
  <c r="H20" i="19"/>
  <c r="L20" i="19"/>
  <c r="I20" i="19"/>
  <c r="E20" i="19"/>
  <c r="K20" i="19"/>
  <c r="B20" i="19"/>
  <c r="F20" i="19"/>
  <c r="C20" i="19"/>
  <c r="D20" i="19"/>
  <c r="AD108" i="10"/>
  <c r="V108" i="10"/>
  <c r="U24" i="2"/>
  <c r="V24" i="2" s="1"/>
  <c r="R108" i="10"/>
  <c r="N108" i="10"/>
  <c r="Y108" i="10"/>
  <c r="AH108" i="10"/>
  <c r="J108" i="12"/>
  <c r="AD108" i="12"/>
  <c r="V108" i="12"/>
  <c r="R108" i="12"/>
  <c r="N108" i="12"/>
  <c r="Z108" i="12"/>
  <c r="AH108" i="12"/>
  <c r="O12" i="3"/>
  <c r="P12" i="3" s="1"/>
  <c r="Q12" i="3" s="1"/>
  <c r="R12" i="3" s="1"/>
  <c r="H113" i="3" s="1"/>
  <c r="O12" i="12"/>
  <c r="P12" i="12" s="1"/>
  <c r="Q12" i="12" s="1"/>
  <c r="R12" i="12" s="1"/>
  <c r="H113" i="12" s="1"/>
  <c r="O12" i="10"/>
  <c r="P12" i="10" s="1"/>
  <c r="Q12" i="10" s="1"/>
  <c r="R12" i="10" s="1"/>
  <c r="H113" i="10" s="1"/>
  <c r="C108" i="12"/>
  <c r="E108" i="12" s="1"/>
  <c r="F108" i="12" s="1"/>
  <c r="C108" i="10"/>
  <c r="E108" i="10" s="1"/>
  <c r="F108" i="10" s="1"/>
  <c r="C108" i="3"/>
  <c r="E108" i="3" s="1"/>
  <c r="F108" i="3" s="1"/>
  <c r="G12" i="3"/>
  <c r="H12" i="3" s="1"/>
  <c r="I12" i="3" s="1"/>
  <c r="G12" i="12"/>
  <c r="H12" i="12" s="1"/>
  <c r="I12" i="12" s="1"/>
  <c r="J12" i="12" s="1"/>
  <c r="D113" i="12" s="1"/>
  <c r="G12" i="10"/>
  <c r="H12" i="10" s="1"/>
  <c r="I12" i="10" s="1"/>
  <c r="J12" i="10" s="1"/>
  <c r="D113" i="10" s="1"/>
  <c r="BK12" i="3"/>
  <c r="BL12" i="3" s="1"/>
  <c r="BK12" i="12"/>
  <c r="BL12" i="12" s="1"/>
  <c r="BM12" i="12" s="1"/>
  <c r="BN12" i="12" s="1"/>
  <c r="AF113" i="12" s="1"/>
  <c r="BK12" i="10"/>
  <c r="BL12" i="10" s="1"/>
  <c r="BM12" i="10" s="1"/>
  <c r="BN12" i="10" s="1"/>
  <c r="AF113" i="10" s="1"/>
  <c r="G112" i="12"/>
  <c r="I112" i="12" s="1"/>
  <c r="J112" i="12" s="1"/>
  <c r="G112" i="10"/>
  <c r="I112" i="10" s="1"/>
  <c r="J112" i="10" s="1"/>
  <c r="G112" i="3"/>
  <c r="I112" i="3" s="1"/>
  <c r="J112" i="3" s="1"/>
  <c r="S111" i="12"/>
  <c r="U111" i="12" s="1"/>
  <c r="V111" i="12" s="1"/>
  <c r="S111" i="10"/>
  <c r="U111" i="10" s="1"/>
  <c r="V111" i="10" s="1"/>
  <c r="S111" i="3"/>
  <c r="T13" i="12"/>
  <c r="U13" i="12" s="1"/>
  <c r="V13" i="12" s="1"/>
  <c r="BH13" i="12"/>
  <c r="BI13" i="12" s="1"/>
  <c r="BJ13" i="12" s="1"/>
  <c r="AI14" i="10"/>
  <c r="AY14" i="10"/>
  <c r="AQ14" i="10"/>
  <c r="BG14" i="10"/>
  <c r="AA14" i="10"/>
  <c r="C14" i="10"/>
  <c r="S14" i="10"/>
  <c r="K14" i="10"/>
  <c r="M108" i="3"/>
  <c r="N108" i="3" s="1"/>
  <c r="L13" i="10"/>
  <c r="M13" i="10" s="1"/>
  <c r="N13" i="10" s="1"/>
  <c r="AR13" i="10"/>
  <c r="AS13" i="10" s="1"/>
  <c r="AT13" i="10" s="1"/>
  <c r="AG110" i="12"/>
  <c r="AH110" i="12" s="1"/>
  <c r="Y108" i="3"/>
  <c r="Z108" i="3" s="1"/>
  <c r="M110" i="3"/>
  <c r="N110" i="3" s="1"/>
  <c r="I110" i="3"/>
  <c r="J110" i="3" s="1"/>
  <c r="Y109" i="3"/>
  <c r="Z109" i="3" s="1"/>
  <c r="U110" i="3"/>
  <c r="V110" i="3" s="1"/>
  <c r="C109" i="12"/>
  <c r="E109" i="12" s="1"/>
  <c r="F109" i="12" s="1"/>
  <c r="C109" i="10"/>
  <c r="E109" i="10" s="1"/>
  <c r="F109" i="10" s="1"/>
  <c r="C109" i="3"/>
  <c r="E109" i="3" s="1"/>
  <c r="F109" i="3" s="1"/>
  <c r="AE12" i="3"/>
  <c r="AF12" i="3" s="1"/>
  <c r="AG12" i="3" s="1"/>
  <c r="AE12" i="12"/>
  <c r="AF12" i="12" s="1"/>
  <c r="AG12" i="12" s="1"/>
  <c r="AH12" i="12" s="1"/>
  <c r="P113" i="12" s="1"/>
  <c r="AE12" i="10"/>
  <c r="AF12" i="10" s="1"/>
  <c r="AG12" i="10" s="1"/>
  <c r="AH12" i="10" s="1"/>
  <c r="P113" i="10" s="1"/>
  <c r="AM12" i="3"/>
  <c r="AN12" i="3" s="1"/>
  <c r="AO12" i="3" s="1"/>
  <c r="AM12" i="12"/>
  <c r="AN12" i="12" s="1"/>
  <c r="AO12" i="12" s="1"/>
  <c r="AP12" i="12" s="1"/>
  <c r="T113" i="12" s="1"/>
  <c r="AM12" i="10"/>
  <c r="AN12" i="10" s="1"/>
  <c r="AO12" i="10" s="1"/>
  <c r="AP12" i="10" s="1"/>
  <c r="T113" i="10" s="1"/>
  <c r="W12" i="3"/>
  <c r="X12" i="3" s="1"/>
  <c r="Y12" i="3" s="1"/>
  <c r="W12" i="12"/>
  <c r="X12" i="12" s="1"/>
  <c r="Y12" i="12" s="1"/>
  <c r="Z12" i="12" s="1"/>
  <c r="L113" i="12" s="1"/>
  <c r="W12" i="10"/>
  <c r="X12" i="10" s="1"/>
  <c r="Y12" i="10" s="1"/>
  <c r="Z12" i="10" s="1"/>
  <c r="L113" i="10" s="1"/>
  <c r="AA111" i="12"/>
  <c r="AC111" i="12" s="1"/>
  <c r="AD111" i="12" s="1"/>
  <c r="AA111" i="10"/>
  <c r="AC111" i="10" s="1"/>
  <c r="AD111" i="10" s="1"/>
  <c r="AA111" i="3"/>
  <c r="AC111" i="3" s="1"/>
  <c r="AD111" i="3" s="1"/>
  <c r="O111" i="12"/>
  <c r="Q111" i="12" s="1"/>
  <c r="R111" i="12" s="1"/>
  <c r="O111" i="10"/>
  <c r="Q111" i="10" s="1"/>
  <c r="R111" i="10" s="1"/>
  <c r="O111" i="3"/>
  <c r="Q111" i="3" s="1"/>
  <c r="R111" i="3" s="1"/>
  <c r="AZ13" i="12"/>
  <c r="BA13" i="12" s="1"/>
  <c r="BB13" i="12" s="1"/>
  <c r="AR13" i="12"/>
  <c r="AS13" i="12" s="1"/>
  <c r="AT13" i="12" s="1"/>
  <c r="K14" i="12"/>
  <c r="C14" i="12"/>
  <c r="AA14" i="12"/>
  <c r="AQ14" i="12"/>
  <c r="S14" i="12"/>
  <c r="BG14" i="12"/>
  <c r="AI14" i="12"/>
  <c r="AY14" i="12"/>
  <c r="AG109" i="3"/>
  <c r="AH109" i="3" s="1"/>
  <c r="BH13" i="10"/>
  <c r="BI13" i="10" s="1"/>
  <c r="BJ13" i="10" s="1"/>
  <c r="T13" i="10"/>
  <c r="U13" i="10" s="1"/>
  <c r="M109" i="3"/>
  <c r="N109" i="3" s="1"/>
  <c r="I109" i="3"/>
  <c r="J109" i="3" s="1"/>
  <c r="U109" i="3"/>
  <c r="V109" i="3" s="1"/>
  <c r="Q110" i="3"/>
  <c r="R110" i="3" s="1"/>
  <c r="U110" i="10"/>
  <c r="V110" i="10" s="1"/>
  <c r="S112" i="12"/>
  <c r="U112" i="12" s="1"/>
  <c r="V112" i="12" s="1"/>
  <c r="S112" i="10"/>
  <c r="U112" i="10" s="1"/>
  <c r="V112" i="10" s="1"/>
  <c r="S112" i="3"/>
  <c r="U112" i="3" s="1"/>
  <c r="V112" i="3" s="1"/>
  <c r="W111" i="12"/>
  <c r="Y111" i="12" s="1"/>
  <c r="Z111" i="12" s="1"/>
  <c r="W111" i="10"/>
  <c r="Y111" i="10" s="1"/>
  <c r="Z111" i="10" s="1"/>
  <c r="W111" i="3"/>
  <c r="Y111" i="3" s="1"/>
  <c r="Z111" i="3" s="1"/>
  <c r="U111" i="3"/>
  <c r="V111" i="3" s="1"/>
  <c r="G111" i="12"/>
  <c r="I111" i="12" s="1"/>
  <c r="J111" i="12" s="1"/>
  <c r="G111" i="10"/>
  <c r="I111" i="10" s="1"/>
  <c r="J111" i="10" s="1"/>
  <c r="G111" i="3"/>
  <c r="I111" i="3" s="1"/>
  <c r="J111" i="3" s="1"/>
  <c r="D13" i="12"/>
  <c r="E13" i="12" s="1"/>
  <c r="F13" i="12" s="1"/>
  <c r="L13" i="12"/>
  <c r="M13" i="12" s="1"/>
  <c r="AC108" i="3"/>
  <c r="AD108" i="3" s="1"/>
  <c r="AJ13" i="10"/>
  <c r="AK13" i="10" s="1"/>
  <c r="AL13" i="10" s="1"/>
  <c r="AZ13" i="10"/>
  <c r="BA13" i="10" s="1"/>
  <c r="BB13" i="10" s="1"/>
  <c r="AG110" i="3"/>
  <c r="AH110" i="3" s="1"/>
  <c r="U108" i="3"/>
  <c r="V108" i="3" s="1"/>
  <c r="M110" i="12"/>
  <c r="N110" i="12" s="1"/>
  <c r="Q109" i="3"/>
  <c r="R109" i="3" s="1"/>
  <c r="AG108" i="3"/>
  <c r="Y110" i="3"/>
  <c r="Z110" i="3" s="1"/>
  <c r="Q110" i="10"/>
  <c r="R110" i="10" s="1"/>
  <c r="C110" i="12"/>
  <c r="E110" i="12" s="1"/>
  <c r="F110" i="12" s="1"/>
  <c r="C110" i="10"/>
  <c r="E110" i="10" s="1"/>
  <c r="F110" i="10" s="1"/>
  <c r="C110" i="3"/>
  <c r="E110" i="3" s="1"/>
  <c r="F110" i="3" s="1"/>
  <c r="BC12" i="3"/>
  <c r="BD12" i="3" s="1"/>
  <c r="BC12" i="12"/>
  <c r="BD12" i="12" s="1"/>
  <c r="BE12" i="12" s="1"/>
  <c r="BF12" i="12" s="1"/>
  <c r="AB113" i="12" s="1"/>
  <c r="BC12" i="10"/>
  <c r="BD12" i="10" s="1"/>
  <c r="BE12" i="10" s="1"/>
  <c r="BF12" i="10" s="1"/>
  <c r="AB113" i="10" s="1"/>
  <c r="AU12" i="3"/>
  <c r="AV12" i="3" s="1"/>
  <c r="AW12" i="3" s="1"/>
  <c r="AU12" i="12"/>
  <c r="AV12" i="12" s="1"/>
  <c r="AW12" i="12" s="1"/>
  <c r="AX12" i="12" s="1"/>
  <c r="X113" i="12" s="1"/>
  <c r="AU12" i="10"/>
  <c r="AV12" i="10" s="1"/>
  <c r="AW12" i="10" s="1"/>
  <c r="AX12" i="10" s="1"/>
  <c r="X113" i="10" s="1"/>
  <c r="C111" i="12"/>
  <c r="E111" i="12" s="1"/>
  <c r="F111" i="12" s="1"/>
  <c r="C111" i="10"/>
  <c r="E111" i="10" s="1"/>
  <c r="F111" i="10" s="1"/>
  <c r="C111" i="3"/>
  <c r="E111" i="3" s="1"/>
  <c r="F111" i="3" s="1"/>
  <c r="K111" i="12"/>
  <c r="M111" i="12" s="1"/>
  <c r="N111" i="12" s="1"/>
  <c r="K111" i="10"/>
  <c r="M111" i="10" s="1"/>
  <c r="N111" i="10" s="1"/>
  <c r="K111" i="3"/>
  <c r="M111" i="3" s="1"/>
  <c r="N111" i="3" s="1"/>
  <c r="A15" i="12"/>
  <c r="A15" i="10"/>
  <c r="AB13" i="12"/>
  <c r="AC13" i="12" s="1"/>
  <c r="AD13" i="12" s="1"/>
  <c r="AJ13" i="12"/>
  <c r="AK13" i="12" s="1"/>
  <c r="AL13" i="12" s="1"/>
  <c r="AB13" i="10"/>
  <c r="AC13" i="10" s="1"/>
  <c r="AD13" i="10" s="1"/>
  <c r="D13" i="10"/>
  <c r="E13" i="10" s="1"/>
  <c r="F13" i="10"/>
  <c r="AC109" i="3"/>
  <c r="AD109" i="3" s="1"/>
  <c r="Q108" i="3"/>
  <c r="R108" i="3" s="1"/>
  <c r="AC110" i="3"/>
  <c r="AD110" i="3" s="1"/>
  <c r="BJ13" i="3"/>
  <c r="Z11" i="3"/>
  <c r="L112" i="3" s="1"/>
  <c r="N12" i="3"/>
  <c r="BB12" i="3"/>
  <c r="BB11" i="3"/>
  <c r="AG24" i="2"/>
  <c r="AH24" i="2" s="1"/>
  <c r="V11" i="3"/>
  <c r="AS24" i="2"/>
  <c r="AT24" i="2" s="1"/>
  <c r="A29" i="2"/>
  <c r="A15" i="3"/>
  <c r="BF11" i="3"/>
  <c r="AB112" i="3" s="1"/>
  <c r="F12" i="3"/>
  <c r="BE12" i="3"/>
  <c r="BF12" i="3" s="1"/>
  <c r="AB113" i="3" s="1"/>
  <c r="BM12" i="3"/>
  <c r="BN12" i="3" s="1"/>
  <c r="AF113" i="3" s="1"/>
  <c r="J12" i="3"/>
  <c r="D113" i="3" s="1"/>
  <c r="C13" i="3"/>
  <c r="AI13" i="3"/>
  <c r="AQ13" i="3"/>
  <c r="K13" i="3"/>
  <c r="S13" i="3"/>
  <c r="AA13" i="3"/>
  <c r="AY13" i="3"/>
  <c r="AZ13" i="3" s="1"/>
  <c r="BA13" i="3" s="1"/>
  <c r="T12" i="3"/>
  <c r="U12" i="3" s="1"/>
  <c r="AH12" i="3"/>
  <c r="P113" i="3" s="1"/>
  <c r="AX12" i="3"/>
  <c r="X113" i="3" s="1"/>
  <c r="AJ12" i="3"/>
  <c r="AK12" i="3" s="1"/>
  <c r="AD12" i="3"/>
  <c r="AT12" i="3"/>
  <c r="AY24" i="2"/>
  <c r="AZ24" i="2" s="1"/>
  <c r="O24" i="2"/>
  <c r="P24" i="2" s="1"/>
  <c r="BE24" i="2"/>
  <c r="BF24" i="2" s="1"/>
  <c r="AA24" i="2"/>
  <c r="AB24" i="2" s="1"/>
  <c r="AO25" i="2"/>
  <c r="AQ25" i="2"/>
  <c r="AC25" i="2"/>
  <c r="AE25" i="2"/>
  <c r="K25" i="2"/>
  <c r="M25" i="2"/>
  <c r="N25" i="2" s="1"/>
  <c r="BG14" i="3"/>
  <c r="BH14" i="3" s="1"/>
  <c r="BI14" i="3" s="1"/>
  <c r="G26" i="2"/>
  <c r="C26" i="2"/>
  <c r="F26" i="2"/>
  <c r="B26" i="2"/>
  <c r="I26" i="2"/>
  <c r="E26" i="2"/>
  <c r="H26" i="2"/>
  <c r="D26" i="2"/>
  <c r="BA25" i="2"/>
  <c r="BC25" i="2"/>
  <c r="A18" i="4"/>
  <c r="B19" i="4"/>
  <c r="AI25" i="2"/>
  <c r="AK25" i="2"/>
  <c r="W25" i="2"/>
  <c r="Y25" i="2"/>
  <c r="C17" i="4"/>
  <c r="L17" i="4"/>
  <c r="F17" i="4"/>
  <c r="I17" i="4"/>
  <c r="Q25" i="2"/>
  <c r="S25" i="2"/>
  <c r="AU25" i="2"/>
  <c r="AW25" i="2"/>
  <c r="D13" i="3" l="1"/>
  <c r="E13" i="3" s="1"/>
  <c r="E8" i="22" s="1"/>
  <c r="A22" i="19"/>
  <c r="I21" i="19"/>
  <c r="K21" i="19"/>
  <c r="H21" i="19"/>
  <c r="L21" i="19"/>
  <c r="D21" i="19"/>
  <c r="E21" i="19"/>
  <c r="J21" i="19"/>
  <c r="B21" i="19"/>
  <c r="F21" i="19"/>
  <c r="C21" i="19"/>
  <c r="Z108" i="10"/>
  <c r="AH108" i="3"/>
  <c r="AE13" i="3"/>
  <c r="AF13" i="3" s="1"/>
  <c r="AG13" i="3" s="1"/>
  <c r="AE13" i="12"/>
  <c r="AF13" i="12" s="1"/>
  <c r="AG13" i="12" s="1"/>
  <c r="AH13" i="12" s="1"/>
  <c r="P114" i="12" s="1"/>
  <c r="AE13" i="10"/>
  <c r="AF13" i="10" s="1"/>
  <c r="AG13" i="10" s="1"/>
  <c r="AH13" i="10" s="1"/>
  <c r="P114" i="10" s="1"/>
  <c r="O13" i="3"/>
  <c r="P13" i="3" s="1"/>
  <c r="Q13" i="3" s="1"/>
  <c r="O13" i="12"/>
  <c r="P13" i="12" s="1"/>
  <c r="Q13" i="12" s="1"/>
  <c r="R13" i="12" s="1"/>
  <c r="H114" i="12" s="1"/>
  <c r="O13" i="10"/>
  <c r="P13" i="10" s="1"/>
  <c r="Q13" i="10" s="1"/>
  <c r="AA112" i="12"/>
  <c r="AC112" i="12" s="1"/>
  <c r="AD112" i="12" s="1"/>
  <c r="AA112" i="10"/>
  <c r="AC112" i="10" s="1"/>
  <c r="AD112" i="10" s="1"/>
  <c r="AA112" i="3"/>
  <c r="AC112" i="3" s="1"/>
  <c r="AD112" i="3" s="1"/>
  <c r="A16" i="12"/>
  <c r="A16" i="10"/>
  <c r="O112" i="12"/>
  <c r="Q112" i="12" s="1"/>
  <c r="R112" i="12" s="1"/>
  <c r="O112" i="10"/>
  <c r="Q112" i="10" s="1"/>
  <c r="R112" i="10" s="1"/>
  <c r="O112" i="3"/>
  <c r="Q112" i="3" s="1"/>
  <c r="R112" i="3" s="1"/>
  <c r="AZ14" i="12"/>
  <c r="BA14" i="12" s="1"/>
  <c r="AR14" i="12"/>
  <c r="AS14" i="12" s="1"/>
  <c r="AT14" i="12" s="1"/>
  <c r="R13" i="10"/>
  <c r="H114" i="10" s="1"/>
  <c r="D14" i="10"/>
  <c r="E14" i="10" s="1"/>
  <c r="F14" i="10" s="1"/>
  <c r="AZ14" i="10"/>
  <c r="BA14" i="10" s="1"/>
  <c r="BK13" i="3"/>
  <c r="BL13" i="3" s="1"/>
  <c r="BM13" i="3" s="1"/>
  <c r="BN13" i="3" s="1"/>
  <c r="AF114" i="3" s="1"/>
  <c r="BK13" i="12"/>
  <c r="BL13" i="12" s="1"/>
  <c r="BM13" i="12" s="1"/>
  <c r="BK13" i="10"/>
  <c r="BL13" i="10" s="1"/>
  <c r="BM13" i="10" s="1"/>
  <c r="AU13" i="3"/>
  <c r="AV13" i="3" s="1"/>
  <c r="AW13" i="3" s="1"/>
  <c r="AU13" i="12"/>
  <c r="AV13" i="12" s="1"/>
  <c r="AW13" i="12" s="1"/>
  <c r="AX13" i="12" s="1"/>
  <c r="X114" i="12" s="1"/>
  <c r="AU13" i="10"/>
  <c r="AV13" i="10" s="1"/>
  <c r="AW13" i="10" s="1"/>
  <c r="AX13" i="10" s="1"/>
  <c r="X114" i="10" s="1"/>
  <c r="K112" i="12"/>
  <c r="M112" i="12" s="1"/>
  <c r="N112" i="12" s="1"/>
  <c r="K112" i="10"/>
  <c r="M112" i="10" s="1"/>
  <c r="N112" i="10" s="1"/>
  <c r="K112" i="3"/>
  <c r="M112" i="3" s="1"/>
  <c r="N112" i="3" s="1"/>
  <c r="W112" i="12"/>
  <c r="Y112" i="12" s="1"/>
  <c r="Z112" i="12" s="1"/>
  <c r="W112" i="10"/>
  <c r="Y112" i="10" s="1"/>
  <c r="Z112" i="10" s="1"/>
  <c r="W112" i="3"/>
  <c r="Y112" i="3" s="1"/>
  <c r="Z112" i="3" s="1"/>
  <c r="BG15" i="10"/>
  <c r="AI15" i="10"/>
  <c r="AA15" i="10"/>
  <c r="AQ15" i="10"/>
  <c r="C15" i="10"/>
  <c r="AY15" i="10"/>
  <c r="S15" i="10"/>
  <c r="K15" i="10"/>
  <c r="AJ14" i="12"/>
  <c r="AK14" i="12" s="1"/>
  <c r="AB14" i="12"/>
  <c r="AC14" i="12" s="1"/>
  <c r="AD14" i="12" s="1"/>
  <c r="AB14" i="10"/>
  <c r="AC14" i="10" s="1"/>
  <c r="AJ14" i="10"/>
  <c r="AK14" i="10" s="1"/>
  <c r="W13" i="3"/>
  <c r="X13" i="3" s="1"/>
  <c r="Y13" i="3" s="1"/>
  <c r="W13" i="12"/>
  <c r="X13" i="12" s="1"/>
  <c r="Y13" i="12" s="1"/>
  <c r="Z13" i="12" s="1"/>
  <c r="L114" i="12" s="1"/>
  <c r="W13" i="10"/>
  <c r="X13" i="10" s="1"/>
  <c r="Y13" i="10" s="1"/>
  <c r="Z13" i="10" s="1"/>
  <c r="L114" i="10" s="1"/>
  <c r="G13" i="3"/>
  <c r="H13" i="3" s="1"/>
  <c r="I13" i="3" s="1"/>
  <c r="J13" i="3" s="1"/>
  <c r="D114" i="3" s="1"/>
  <c r="G13" i="12"/>
  <c r="H13" i="12" s="1"/>
  <c r="I13" i="12" s="1"/>
  <c r="G13" i="10"/>
  <c r="H13" i="10" s="1"/>
  <c r="I13" i="10" s="1"/>
  <c r="AE112" i="12"/>
  <c r="AG112" i="12" s="1"/>
  <c r="AH112" i="12" s="1"/>
  <c r="AE112" i="10"/>
  <c r="AG112" i="10" s="1"/>
  <c r="AE112" i="3"/>
  <c r="AG112" i="3" s="1"/>
  <c r="AH112" i="3" s="1"/>
  <c r="J13" i="10"/>
  <c r="D114" i="10" s="1"/>
  <c r="C15" i="12"/>
  <c r="AI15" i="12"/>
  <c r="BG15" i="12"/>
  <c r="AY15" i="12"/>
  <c r="S15" i="12"/>
  <c r="K15" i="12"/>
  <c r="AA15" i="12"/>
  <c r="AQ15" i="12"/>
  <c r="J13" i="12"/>
  <c r="D114" i="12" s="1"/>
  <c r="BN13" i="10"/>
  <c r="AF114" i="10" s="1"/>
  <c r="BH14" i="12"/>
  <c r="BI14" i="12" s="1"/>
  <c r="BJ14" i="12" s="1"/>
  <c r="D14" i="12"/>
  <c r="E14" i="12" s="1"/>
  <c r="F14" i="12" s="1"/>
  <c r="L14" i="10"/>
  <c r="M14" i="10" s="1"/>
  <c r="N14" i="10" s="1"/>
  <c r="BH14" i="10"/>
  <c r="BI14" i="10" s="1"/>
  <c r="BJ14" i="10" s="1"/>
  <c r="BC13" i="3"/>
  <c r="BD13" i="3" s="1"/>
  <c r="BE13" i="3" s="1"/>
  <c r="BF13" i="3" s="1"/>
  <c r="AB114" i="3" s="1"/>
  <c r="BC13" i="12"/>
  <c r="BD13" i="12" s="1"/>
  <c r="BE13" i="12" s="1"/>
  <c r="BF13" i="12" s="1"/>
  <c r="AB114" i="12" s="1"/>
  <c r="BC13" i="10"/>
  <c r="BD13" i="10" s="1"/>
  <c r="BE13" i="10" s="1"/>
  <c r="BF13" i="10" s="1"/>
  <c r="AB114" i="10" s="1"/>
  <c r="AM13" i="3"/>
  <c r="AN13" i="3" s="1"/>
  <c r="AO13" i="3" s="1"/>
  <c r="AM13" i="12"/>
  <c r="AN13" i="12" s="1"/>
  <c r="AO13" i="12" s="1"/>
  <c r="AP13" i="12" s="1"/>
  <c r="T114" i="12" s="1"/>
  <c r="AM13" i="10"/>
  <c r="AN13" i="10" s="1"/>
  <c r="AO13" i="10" s="1"/>
  <c r="AP13" i="10" s="1"/>
  <c r="T114" i="10" s="1"/>
  <c r="C112" i="12"/>
  <c r="E112" i="12" s="1"/>
  <c r="F112" i="12" s="1"/>
  <c r="C112" i="10"/>
  <c r="E112" i="10" s="1"/>
  <c r="F112" i="10" s="1"/>
  <c r="C112" i="3"/>
  <c r="E112" i="3" s="1"/>
  <c r="F112" i="3" s="1"/>
  <c r="N13" i="12"/>
  <c r="V13" i="10"/>
  <c r="T14" i="12"/>
  <c r="U14" i="12" s="1"/>
  <c r="V14" i="12" s="1"/>
  <c r="L14" i="12"/>
  <c r="M14" i="12" s="1"/>
  <c r="N14" i="12" s="1"/>
  <c r="T14" i="10"/>
  <c r="U14" i="10" s="1"/>
  <c r="V14" i="10" s="1"/>
  <c r="AR14" i="10"/>
  <c r="AS14" i="10" s="1"/>
  <c r="BN13" i="12"/>
  <c r="AF114" i="12" s="1"/>
  <c r="AL12" i="3"/>
  <c r="BB13" i="3"/>
  <c r="BJ14" i="3"/>
  <c r="Z12" i="3"/>
  <c r="L113" i="3" s="1"/>
  <c r="A30" i="2"/>
  <c r="A16" i="3"/>
  <c r="V12" i="3"/>
  <c r="F13" i="3"/>
  <c r="L13" i="3"/>
  <c r="M13" i="3" s="1"/>
  <c r="AR13" i="3"/>
  <c r="AS13" i="3" s="1"/>
  <c r="AB13" i="3"/>
  <c r="AC13" i="3" s="1"/>
  <c r="AJ13" i="3"/>
  <c r="AK13" i="3" s="1"/>
  <c r="C14" i="3"/>
  <c r="S14" i="3"/>
  <c r="K14" i="3"/>
  <c r="AY14" i="3"/>
  <c r="AZ14" i="3" s="1"/>
  <c r="BA14" i="3" s="1"/>
  <c r="AI14" i="3"/>
  <c r="AQ14" i="3"/>
  <c r="AA14" i="3"/>
  <c r="AP12" i="3"/>
  <c r="T113" i="3" s="1"/>
  <c r="T13" i="3"/>
  <c r="U13" i="3" s="1"/>
  <c r="BG24" i="2"/>
  <c r="AS25" i="2"/>
  <c r="AT25" i="2" s="1"/>
  <c r="AG25" i="2"/>
  <c r="AH25" i="2" s="1"/>
  <c r="AC26" i="2"/>
  <c r="AE26" i="2"/>
  <c r="Q26" i="2"/>
  <c r="S26" i="2"/>
  <c r="L25" i="2"/>
  <c r="O25" i="2"/>
  <c r="P25" i="2" s="1"/>
  <c r="U25" i="2"/>
  <c r="V25" i="2" s="1"/>
  <c r="AM25" i="2"/>
  <c r="AN25" i="2" s="1"/>
  <c r="BE25" i="2"/>
  <c r="BF25" i="2" s="1"/>
  <c r="BA26" i="2"/>
  <c r="BC26" i="2"/>
  <c r="AO26" i="2"/>
  <c r="AQ26" i="2"/>
  <c r="B20" i="4"/>
  <c r="A19" i="4"/>
  <c r="W26" i="2"/>
  <c r="Y26" i="2"/>
  <c r="K26" i="2"/>
  <c r="M26" i="2"/>
  <c r="N26" i="2" s="1"/>
  <c r="I27" i="2"/>
  <c r="E27" i="2"/>
  <c r="H27" i="2"/>
  <c r="D27" i="2"/>
  <c r="BG15" i="3"/>
  <c r="G27" i="2"/>
  <c r="C27" i="2"/>
  <c r="F27" i="2"/>
  <c r="B27" i="2"/>
  <c r="AY25" i="2"/>
  <c r="AZ25" i="2" s="1"/>
  <c r="AA25" i="2"/>
  <c r="AB25" i="2" s="1"/>
  <c r="I18" i="4"/>
  <c r="C18" i="4"/>
  <c r="F18" i="4"/>
  <c r="L18" i="4"/>
  <c r="AU26" i="2"/>
  <c r="AW26" i="2"/>
  <c r="AI26" i="2"/>
  <c r="AK26" i="2"/>
  <c r="D14" i="3" l="1"/>
  <c r="E14" i="3" s="1"/>
  <c r="E9" i="22" s="1"/>
  <c r="A23" i="19"/>
  <c r="H22" i="19"/>
  <c r="L22" i="19"/>
  <c r="J22" i="19"/>
  <c r="K22" i="19"/>
  <c r="C22" i="19"/>
  <c r="D22" i="19"/>
  <c r="E22" i="19"/>
  <c r="I22" i="19"/>
  <c r="B22" i="19"/>
  <c r="F22" i="19"/>
  <c r="AH112" i="10"/>
  <c r="AU14" i="3"/>
  <c r="AV14" i="3" s="1"/>
  <c r="AW14" i="3" s="1"/>
  <c r="AU14" i="12"/>
  <c r="AV14" i="12" s="1"/>
  <c r="AW14" i="12" s="1"/>
  <c r="AX14" i="12" s="1"/>
  <c r="X115" i="12" s="1"/>
  <c r="AU14" i="10"/>
  <c r="AV14" i="10" s="1"/>
  <c r="AW14" i="10" s="1"/>
  <c r="AX14" i="10" s="1"/>
  <c r="X115" i="10" s="1"/>
  <c r="BK14" i="3"/>
  <c r="BL14" i="3" s="1"/>
  <c r="BK14" i="12"/>
  <c r="BL14" i="12" s="1"/>
  <c r="BM14" i="12" s="1"/>
  <c r="BN14" i="12" s="1"/>
  <c r="AF115" i="12" s="1"/>
  <c r="BK14" i="10"/>
  <c r="BL14" i="10" s="1"/>
  <c r="BM14" i="10" s="1"/>
  <c r="O113" i="12"/>
  <c r="Q113" i="12" s="1"/>
  <c r="R113" i="12" s="1"/>
  <c r="O113" i="10"/>
  <c r="Q113" i="10" s="1"/>
  <c r="R113" i="10" s="1"/>
  <c r="O113" i="3"/>
  <c r="Q113" i="3" s="1"/>
  <c r="R113" i="3" s="1"/>
  <c r="AZ15" i="12"/>
  <c r="BA15" i="12" s="1"/>
  <c r="BB15" i="12" s="1"/>
  <c r="AM14" i="3"/>
  <c r="AN14" i="3" s="1"/>
  <c r="AO14" i="3" s="1"/>
  <c r="AM14" i="12"/>
  <c r="AN14" i="12" s="1"/>
  <c r="AO14" i="12" s="1"/>
  <c r="AP14" i="12" s="1"/>
  <c r="T115" i="12" s="1"/>
  <c r="AM14" i="10"/>
  <c r="AN14" i="10" s="1"/>
  <c r="AO14" i="10" s="1"/>
  <c r="AP14" i="10" s="1"/>
  <c r="T115" i="10" s="1"/>
  <c r="W14" i="3"/>
  <c r="X14" i="3" s="1"/>
  <c r="Y14" i="3" s="1"/>
  <c r="W14" i="12"/>
  <c r="X14" i="12" s="1"/>
  <c r="Y14" i="12" s="1"/>
  <c r="W14" i="10"/>
  <c r="X14" i="10" s="1"/>
  <c r="Y14" i="10" s="1"/>
  <c r="Z14" i="10" s="1"/>
  <c r="L115" i="10" s="1"/>
  <c r="G113" i="12"/>
  <c r="I113" i="12" s="1"/>
  <c r="G113" i="10"/>
  <c r="I113" i="10" s="1"/>
  <c r="J113" i="10" s="1"/>
  <c r="G113" i="3"/>
  <c r="I113" i="3" s="1"/>
  <c r="J113" i="3" s="1"/>
  <c r="W113" i="12"/>
  <c r="Y113" i="12" s="1"/>
  <c r="Z113" i="12" s="1"/>
  <c r="W113" i="10"/>
  <c r="Y113" i="10" s="1"/>
  <c r="W113" i="3"/>
  <c r="Y113" i="3" s="1"/>
  <c r="Z113" i="3" s="1"/>
  <c r="A17" i="12"/>
  <c r="A17" i="10"/>
  <c r="AT14" i="10"/>
  <c r="AB15" i="12"/>
  <c r="AC15" i="12" s="1"/>
  <c r="AD15" i="12" s="1"/>
  <c r="BH15" i="12"/>
  <c r="BI15" i="12" s="1"/>
  <c r="BJ15" i="12" s="1"/>
  <c r="AD14" i="10"/>
  <c r="AL14" i="12"/>
  <c r="L15" i="10"/>
  <c r="M15" i="10" s="1"/>
  <c r="N15" i="10" s="1"/>
  <c r="AR15" i="10"/>
  <c r="AS15" i="10" s="1"/>
  <c r="AA113" i="12"/>
  <c r="AC113" i="12" s="1"/>
  <c r="AD113" i="12" s="1"/>
  <c r="AA113" i="10"/>
  <c r="AC113" i="10" s="1"/>
  <c r="AD113" i="10" s="1"/>
  <c r="AA113" i="3"/>
  <c r="AC113" i="3" s="1"/>
  <c r="AD113" i="3" s="1"/>
  <c r="AE113" i="12"/>
  <c r="AG113" i="12" s="1"/>
  <c r="AH113" i="12" s="1"/>
  <c r="AE113" i="10"/>
  <c r="AG113" i="10" s="1"/>
  <c r="AH113" i="10" s="1"/>
  <c r="AE113" i="3"/>
  <c r="AG113" i="3" s="1"/>
  <c r="AH113" i="3" s="1"/>
  <c r="G14" i="3"/>
  <c r="H14" i="3" s="1"/>
  <c r="I14" i="3" s="1"/>
  <c r="G14" i="12"/>
  <c r="H14" i="12" s="1"/>
  <c r="I14" i="12" s="1"/>
  <c r="G14" i="10"/>
  <c r="H14" i="10" s="1"/>
  <c r="I14" i="10" s="1"/>
  <c r="J14" i="10" s="1"/>
  <c r="D115" i="10" s="1"/>
  <c r="AR15" i="12"/>
  <c r="AS15" i="12" s="1"/>
  <c r="AT15" i="12" s="1"/>
  <c r="K113" i="12"/>
  <c r="M113" i="12" s="1"/>
  <c r="N113" i="12" s="1"/>
  <c r="K113" i="10"/>
  <c r="M113" i="10" s="1"/>
  <c r="N113" i="10" s="1"/>
  <c r="K113" i="3"/>
  <c r="M113" i="3" s="1"/>
  <c r="N113" i="3" s="1"/>
  <c r="O14" i="3"/>
  <c r="P14" i="3" s="1"/>
  <c r="Q14" i="3" s="1"/>
  <c r="O14" i="12"/>
  <c r="P14" i="12" s="1"/>
  <c r="Q14" i="12" s="1"/>
  <c r="R14" i="12" s="1"/>
  <c r="H115" i="12" s="1"/>
  <c r="O14" i="10"/>
  <c r="P14" i="10" s="1"/>
  <c r="Q14" i="10" s="1"/>
  <c r="R14" i="10" s="1"/>
  <c r="H115" i="10" s="1"/>
  <c r="BC14" i="3"/>
  <c r="BD14" i="3" s="1"/>
  <c r="BE14" i="3" s="1"/>
  <c r="BF14" i="3" s="1"/>
  <c r="AB115" i="3" s="1"/>
  <c r="BC14" i="12"/>
  <c r="BD14" i="12" s="1"/>
  <c r="BE14" i="12" s="1"/>
  <c r="BF14" i="12" s="1"/>
  <c r="AB115" i="12" s="1"/>
  <c r="BC14" i="10"/>
  <c r="BD14" i="10" s="1"/>
  <c r="BE14" i="10" s="1"/>
  <c r="BF14" i="10" s="1"/>
  <c r="AB115" i="10" s="1"/>
  <c r="C113" i="12"/>
  <c r="E113" i="12" s="1"/>
  <c r="F113" i="12" s="1"/>
  <c r="C113" i="10"/>
  <c r="E113" i="10" s="1"/>
  <c r="F113" i="10" s="1"/>
  <c r="C113" i="3"/>
  <c r="E113" i="3" s="1"/>
  <c r="F113" i="3" s="1"/>
  <c r="BN14" i="10"/>
  <c r="AF115" i="10" s="1"/>
  <c r="J14" i="12"/>
  <c r="D115" i="12" s="1"/>
  <c r="L15" i="12"/>
  <c r="M15" i="12" s="1"/>
  <c r="N15" i="12" s="1"/>
  <c r="AJ15" i="12"/>
  <c r="AK15" i="12" s="1"/>
  <c r="T15" i="10"/>
  <c r="U15" i="10" s="1"/>
  <c r="AB15" i="10"/>
  <c r="AC15" i="10" s="1"/>
  <c r="AD15" i="10"/>
  <c r="BB14" i="10"/>
  <c r="BB14" i="12"/>
  <c r="BG16" i="10"/>
  <c r="C16" i="10"/>
  <c r="S16" i="10"/>
  <c r="AA16" i="10"/>
  <c r="AQ16" i="10"/>
  <c r="K16" i="10"/>
  <c r="AI16" i="10"/>
  <c r="AY16" i="10"/>
  <c r="AE14" i="3"/>
  <c r="AF14" i="3" s="1"/>
  <c r="AG14" i="3" s="1"/>
  <c r="AE14" i="12"/>
  <c r="AF14" i="12" s="1"/>
  <c r="AG14" i="12" s="1"/>
  <c r="AH14" i="12" s="1"/>
  <c r="P115" i="12" s="1"/>
  <c r="AE14" i="10"/>
  <c r="AF14" i="10" s="1"/>
  <c r="AG14" i="10" s="1"/>
  <c r="AH14" i="10" s="1"/>
  <c r="P115" i="10" s="1"/>
  <c r="Z14" i="12"/>
  <c r="L115" i="12" s="1"/>
  <c r="T15" i="12"/>
  <c r="U15" i="12" s="1"/>
  <c r="V15" i="12" s="1"/>
  <c r="D15" i="12"/>
  <c r="E15" i="12" s="1"/>
  <c r="F15" i="12" s="1"/>
  <c r="AL14" i="10"/>
  <c r="AZ15" i="10"/>
  <c r="BA15" i="10" s="1"/>
  <c r="BB15" i="10" s="1"/>
  <c r="AJ15" i="10"/>
  <c r="AK15" i="10" s="1"/>
  <c r="AL15" i="10" s="1"/>
  <c r="AQ16" i="12"/>
  <c r="S16" i="12"/>
  <c r="BG16" i="12"/>
  <c r="C16" i="12"/>
  <c r="AI16" i="12"/>
  <c r="AY16" i="12"/>
  <c r="K16" i="12"/>
  <c r="AA16" i="12"/>
  <c r="S113" i="12"/>
  <c r="U113" i="12" s="1"/>
  <c r="S113" i="10"/>
  <c r="U113" i="10" s="1"/>
  <c r="S113" i="3"/>
  <c r="U113" i="3" s="1"/>
  <c r="V113" i="3" s="1"/>
  <c r="D15" i="10"/>
  <c r="E15" i="10" s="1"/>
  <c r="BH15" i="10"/>
  <c r="BI15" i="10" s="1"/>
  <c r="BJ15" i="10" s="1"/>
  <c r="N13" i="3"/>
  <c r="BB14" i="3"/>
  <c r="AL13" i="3"/>
  <c r="Z13" i="3"/>
  <c r="L114" i="3" s="1"/>
  <c r="AD13" i="3"/>
  <c r="AX13" i="3"/>
  <c r="X114" i="3" s="1"/>
  <c r="A31" i="2"/>
  <c r="A17" i="3"/>
  <c r="AH13" i="3"/>
  <c r="P114" i="3" s="1"/>
  <c r="J14" i="3"/>
  <c r="D115" i="3" s="1"/>
  <c r="BH15" i="3"/>
  <c r="BI15" i="3" s="1"/>
  <c r="BM14" i="3"/>
  <c r="BN14" i="3" s="1"/>
  <c r="AF115" i="3" s="1"/>
  <c r="V13" i="3"/>
  <c r="AT13" i="3"/>
  <c r="AR14" i="3"/>
  <c r="AS14" i="3" s="1"/>
  <c r="T14" i="3"/>
  <c r="U14" i="3" s="1"/>
  <c r="AJ14" i="3"/>
  <c r="AK14" i="3" s="1"/>
  <c r="C15" i="3"/>
  <c r="K15" i="3"/>
  <c r="AQ15" i="3"/>
  <c r="S15" i="3"/>
  <c r="AY15" i="3"/>
  <c r="AA15" i="3"/>
  <c r="AI15" i="3"/>
  <c r="F14" i="3"/>
  <c r="R13" i="3"/>
  <c r="H114" i="3" s="1"/>
  <c r="AB14" i="3"/>
  <c r="AC14" i="3" s="1"/>
  <c r="L14" i="3"/>
  <c r="M14" i="3" s="1"/>
  <c r="AP13" i="3"/>
  <c r="T114" i="3" s="1"/>
  <c r="AY26" i="2"/>
  <c r="AZ26" i="2" s="1"/>
  <c r="BG25" i="2"/>
  <c r="AG26" i="2"/>
  <c r="AH26" i="2" s="1"/>
  <c r="AM26" i="2"/>
  <c r="AN26" i="2" s="1"/>
  <c r="U26" i="2"/>
  <c r="V26" i="2" s="1"/>
  <c r="AO27" i="2"/>
  <c r="AQ27" i="2"/>
  <c r="AC27" i="2"/>
  <c r="AE27" i="2"/>
  <c r="K27" i="2"/>
  <c r="M27" i="2"/>
  <c r="N27" i="2" s="1"/>
  <c r="BG16" i="3"/>
  <c r="BH16" i="3" s="1"/>
  <c r="BI16" i="3" s="1"/>
  <c r="G28" i="2"/>
  <c r="C28" i="2"/>
  <c r="F28" i="2"/>
  <c r="B28" i="2"/>
  <c r="I28" i="2"/>
  <c r="E28" i="2"/>
  <c r="H28" i="2"/>
  <c r="D28" i="2"/>
  <c r="BA27" i="2"/>
  <c r="BC27" i="2"/>
  <c r="AA26" i="2"/>
  <c r="AB26" i="2" s="1"/>
  <c r="AS26" i="2"/>
  <c r="AT26" i="2" s="1"/>
  <c r="AI27" i="2"/>
  <c r="AK27" i="2"/>
  <c r="W27" i="2"/>
  <c r="Y27" i="2"/>
  <c r="F19" i="4"/>
  <c r="I19" i="4"/>
  <c r="L19" i="4"/>
  <c r="C19" i="4"/>
  <c r="Q27" i="2"/>
  <c r="S27" i="2"/>
  <c r="AU27" i="2"/>
  <c r="AW27" i="2"/>
  <c r="L26" i="2"/>
  <c r="O26" i="2"/>
  <c r="P26" i="2" s="1"/>
  <c r="B21" i="4"/>
  <c r="A20" i="4"/>
  <c r="BE26" i="2"/>
  <c r="BF26" i="2" s="1"/>
  <c r="D15" i="3" l="1"/>
  <c r="E15" i="3" s="1"/>
  <c r="E10" i="22" s="1"/>
  <c r="A24" i="19"/>
  <c r="K23" i="19"/>
  <c r="I23" i="19"/>
  <c r="J23" i="19"/>
  <c r="H23" i="19"/>
  <c r="B23" i="19"/>
  <c r="F23" i="19"/>
  <c r="L23" i="19"/>
  <c r="C23" i="19"/>
  <c r="D23" i="19"/>
  <c r="E23" i="19"/>
  <c r="V113" i="10"/>
  <c r="Z113" i="10"/>
  <c r="V113" i="12"/>
  <c r="J113" i="12"/>
  <c r="AU15" i="3"/>
  <c r="AV15" i="3" s="1"/>
  <c r="AW15" i="3" s="1"/>
  <c r="AU15" i="12"/>
  <c r="AV15" i="12" s="1"/>
  <c r="AW15" i="12" s="1"/>
  <c r="AU15" i="10"/>
  <c r="AV15" i="10" s="1"/>
  <c r="AW15" i="10" s="1"/>
  <c r="AX15" i="10" s="1"/>
  <c r="X116" i="10" s="1"/>
  <c r="AA114" i="12"/>
  <c r="AC114" i="12" s="1"/>
  <c r="AD114" i="12" s="1"/>
  <c r="AA114" i="10"/>
  <c r="AC114" i="10" s="1"/>
  <c r="AD114" i="10" s="1"/>
  <c r="AA114" i="3"/>
  <c r="AC114" i="3" s="1"/>
  <c r="AD114" i="3" s="1"/>
  <c r="AB16" i="12"/>
  <c r="AC16" i="12" s="1"/>
  <c r="AD16" i="12" s="1"/>
  <c r="AZ16" i="10"/>
  <c r="BA16" i="10" s="1"/>
  <c r="BB16" i="10" s="1"/>
  <c r="W114" i="12"/>
  <c r="Y114" i="12" s="1"/>
  <c r="Z114" i="12" s="1"/>
  <c r="W114" i="10"/>
  <c r="Y114" i="10" s="1"/>
  <c r="Z114" i="10" s="1"/>
  <c r="W114" i="3"/>
  <c r="Y114" i="3" s="1"/>
  <c r="Z114" i="3" s="1"/>
  <c r="W15" i="3"/>
  <c r="X15" i="3" s="1"/>
  <c r="Y15" i="3" s="1"/>
  <c r="W15" i="12"/>
  <c r="X15" i="12" s="1"/>
  <c r="Y15" i="12" s="1"/>
  <c r="Z15" i="12" s="1"/>
  <c r="L116" i="12" s="1"/>
  <c r="W15" i="10"/>
  <c r="X15" i="10" s="1"/>
  <c r="Y15" i="10" s="1"/>
  <c r="Z15" i="10" s="1"/>
  <c r="L116" i="10" s="1"/>
  <c r="G15" i="3"/>
  <c r="H15" i="3" s="1"/>
  <c r="I15" i="3" s="1"/>
  <c r="G15" i="12"/>
  <c r="H15" i="12" s="1"/>
  <c r="I15" i="12" s="1"/>
  <c r="J15" i="12" s="1"/>
  <c r="D116" i="12" s="1"/>
  <c r="G15" i="10"/>
  <c r="H15" i="10" s="1"/>
  <c r="I15" i="10" s="1"/>
  <c r="J15" i="10" s="1"/>
  <c r="D116" i="10" s="1"/>
  <c r="S114" i="12"/>
  <c r="U114" i="12" s="1"/>
  <c r="V114" i="12" s="1"/>
  <c r="S114" i="10"/>
  <c r="U114" i="10" s="1"/>
  <c r="V114" i="10" s="1"/>
  <c r="S114" i="3"/>
  <c r="U114" i="3" s="1"/>
  <c r="V114" i="3" s="1"/>
  <c r="F15" i="10"/>
  <c r="L16" i="12"/>
  <c r="M16" i="12" s="1"/>
  <c r="N16" i="12" s="1"/>
  <c r="BH16" i="12"/>
  <c r="BI16" i="12" s="1"/>
  <c r="BJ16" i="12" s="1"/>
  <c r="AJ16" i="10"/>
  <c r="AK16" i="10" s="1"/>
  <c r="AL16" i="10" s="1"/>
  <c r="T16" i="10"/>
  <c r="U16" i="10" s="1"/>
  <c r="V16" i="10" s="1"/>
  <c r="V15" i="10"/>
  <c r="AL15" i="12"/>
  <c r="AX15" i="12"/>
  <c r="X116" i="12" s="1"/>
  <c r="AT15" i="10"/>
  <c r="K17" i="12"/>
  <c r="C17" i="12"/>
  <c r="AI17" i="12"/>
  <c r="AY17" i="12"/>
  <c r="BG17" i="12"/>
  <c r="S17" i="12"/>
  <c r="AA17" i="12"/>
  <c r="AQ17" i="12"/>
  <c r="AE114" i="12"/>
  <c r="AG114" i="12" s="1"/>
  <c r="AH114" i="12" s="1"/>
  <c r="AE114" i="10"/>
  <c r="AG114" i="10" s="1"/>
  <c r="AH114" i="10" s="1"/>
  <c r="AE114" i="3"/>
  <c r="AG114" i="3" s="1"/>
  <c r="AH114" i="3" s="1"/>
  <c r="BK15" i="3"/>
  <c r="BL15" i="3" s="1"/>
  <c r="BM15" i="3" s="1"/>
  <c r="BK15" i="12"/>
  <c r="BL15" i="12" s="1"/>
  <c r="BM15" i="12" s="1"/>
  <c r="BN15" i="12" s="1"/>
  <c r="AF116" i="12" s="1"/>
  <c r="BK15" i="10"/>
  <c r="BL15" i="10" s="1"/>
  <c r="BM15" i="10" s="1"/>
  <c r="BN15" i="10" s="1"/>
  <c r="AF116" i="10" s="1"/>
  <c r="G114" i="12"/>
  <c r="I114" i="12" s="1"/>
  <c r="J114" i="12" s="1"/>
  <c r="G114" i="10"/>
  <c r="I114" i="10" s="1"/>
  <c r="J114" i="10" s="1"/>
  <c r="G114" i="3"/>
  <c r="I114" i="3" s="1"/>
  <c r="J114" i="3" s="1"/>
  <c r="A18" i="12"/>
  <c r="A18" i="10"/>
  <c r="D16" i="12"/>
  <c r="E16" i="12" s="1"/>
  <c r="F16" i="12" s="1"/>
  <c r="AB16" i="10"/>
  <c r="AC16" i="10" s="1"/>
  <c r="AD16" i="10" s="1"/>
  <c r="K114" i="12"/>
  <c r="M114" i="12" s="1"/>
  <c r="N114" i="12" s="1"/>
  <c r="K114" i="10"/>
  <c r="M114" i="10" s="1"/>
  <c r="N114" i="10" s="1"/>
  <c r="K114" i="3"/>
  <c r="M114" i="3" s="1"/>
  <c r="N114" i="3" s="1"/>
  <c r="BC15" i="3"/>
  <c r="BD15" i="3" s="1"/>
  <c r="BE15" i="3" s="1"/>
  <c r="BC15" i="12"/>
  <c r="BD15" i="12" s="1"/>
  <c r="BE15" i="12" s="1"/>
  <c r="BF15" i="12" s="1"/>
  <c r="AB116" i="12" s="1"/>
  <c r="BC15" i="10"/>
  <c r="BD15" i="10" s="1"/>
  <c r="BE15" i="10" s="1"/>
  <c r="BF15" i="10" s="1"/>
  <c r="AB116" i="10" s="1"/>
  <c r="AM15" i="3"/>
  <c r="AN15" i="3" s="1"/>
  <c r="AO15" i="3" s="1"/>
  <c r="AM15" i="12"/>
  <c r="AN15" i="12" s="1"/>
  <c r="AO15" i="12" s="1"/>
  <c r="AP15" i="12" s="1"/>
  <c r="T116" i="12" s="1"/>
  <c r="AM15" i="10"/>
  <c r="AN15" i="10" s="1"/>
  <c r="AO15" i="10" s="1"/>
  <c r="AP15" i="10" s="1"/>
  <c r="T116" i="10" s="1"/>
  <c r="O114" i="12"/>
  <c r="Q114" i="12" s="1"/>
  <c r="R114" i="12" s="1"/>
  <c r="O114" i="10"/>
  <c r="Q114" i="10" s="1"/>
  <c r="R114" i="10" s="1"/>
  <c r="O114" i="3"/>
  <c r="Q114" i="3" s="1"/>
  <c r="R114" i="3" s="1"/>
  <c r="AZ16" i="12"/>
  <c r="BA16" i="12" s="1"/>
  <c r="BB16" i="12" s="1"/>
  <c r="T16" i="12"/>
  <c r="U16" i="12" s="1"/>
  <c r="V16" i="12" s="1"/>
  <c r="L16" i="10"/>
  <c r="M16" i="10" s="1"/>
  <c r="N16" i="10" s="1"/>
  <c r="D16" i="10"/>
  <c r="E16" i="10" s="1"/>
  <c r="F16" i="10" s="1"/>
  <c r="O15" i="3"/>
  <c r="P15" i="3" s="1"/>
  <c r="Q15" i="3" s="1"/>
  <c r="O15" i="12"/>
  <c r="P15" i="12" s="1"/>
  <c r="Q15" i="12" s="1"/>
  <c r="R15" i="12" s="1"/>
  <c r="H116" i="12" s="1"/>
  <c r="O15" i="10"/>
  <c r="P15" i="10" s="1"/>
  <c r="Q15" i="10" s="1"/>
  <c r="R15" i="10" s="1"/>
  <c r="H116" i="10" s="1"/>
  <c r="AJ16" i="12"/>
  <c r="AK16" i="12" s="1"/>
  <c r="AL16" i="12" s="1"/>
  <c r="AR16" i="12"/>
  <c r="AS16" i="12" s="1"/>
  <c r="AT16" i="12" s="1"/>
  <c r="AR16" i="10"/>
  <c r="AS16" i="10" s="1"/>
  <c r="AT16" i="10" s="1"/>
  <c r="BH16" i="10"/>
  <c r="BI16" i="10" s="1"/>
  <c r="BJ16" i="10" s="1"/>
  <c r="C114" i="12"/>
  <c r="E114" i="12" s="1"/>
  <c r="F114" i="12" s="1"/>
  <c r="C114" i="10"/>
  <c r="E114" i="10" s="1"/>
  <c r="F114" i="10" s="1"/>
  <c r="C114" i="3"/>
  <c r="E114" i="3" s="1"/>
  <c r="F114" i="3" s="1"/>
  <c r="AE15" i="3"/>
  <c r="AF15" i="3" s="1"/>
  <c r="AG15" i="3" s="1"/>
  <c r="AE15" i="12"/>
  <c r="AF15" i="12" s="1"/>
  <c r="AG15" i="12" s="1"/>
  <c r="AH15" i="12" s="1"/>
  <c r="P116" i="12" s="1"/>
  <c r="AE15" i="10"/>
  <c r="AF15" i="10" s="1"/>
  <c r="AG15" i="10" s="1"/>
  <c r="AH15" i="10" s="1"/>
  <c r="P116" i="10" s="1"/>
  <c r="AQ17" i="10"/>
  <c r="C17" i="10"/>
  <c r="BG17" i="10"/>
  <c r="AI17" i="10"/>
  <c r="AY17" i="10"/>
  <c r="S17" i="10"/>
  <c r="K17" i="10"/>
  <c r="AA17" i="10"/>
  <c r="AL14" i="3"/>
  <c r="N14" i="3"/>
  <c r="V14" i="3"/>
  <c r="AT14" i="3"/>
  <c r="BJ16" i="3"/>
  <c r="AD14" i="3"/>
  <c r="BJ15" i="3"/>
  <c r="J15" i="3"/>
  <c r="D116" i="3" s="1"/>
  <c r="A32" i="2"/>
  <c r="A18" i="3"/>
  <c r="AH14" i="3"/>
  <c r="P115" i="3" s="1"/>
  <c r="AX14" i="3"/>
  <c r="X115" i="3" s="1"/>
  <c r="Z14" i="3"/>
  <c r="L115" i="3" s="1"/>
  <c r="AZ15" i="3"/>
  <c r="BA15" i="3" s="1"/>
  <c r="BN15" i="3"/>
  <c r="AF116" i="3" s="1"/>
  <c r="T15" i="3"/>
  <c r="U15" i="3" s="1"/>
  <c r="AJ15" i="3"/>
  <c r="AK15" i="3" s="1"/>
  <c r="AR15" i="3"/>
  <c r="AS15" i="3" s="1"/>
  <c r="AP14" i="3"/>
  <c r="T115" i="3" s="1"/>
  <c r="C16" i="3"/>
  <c r="AI16" i="3"/>
  <c r="AQ16" i="3"/>
  <c r="AY16" i="3"/>
  <c r="AZ16" i="3" s="1"/>
  <c r="BA16" i="3" s="1"/>
  <c r="AA16" i="3"/>
  <c r="S16" i="3"/>
  <c r="K16" i="3"/>
  <c r="R14" i="3"/>
  <c r="H115" i="3" s="1"/>
  <c r="AB15" i="3"/>
  <c r="AC15" i="3" s="1"/>
  <c r="L15" i="3"/>
  <c r="M15" i="3" s="1"/>
  <c r="F15" i="3"/>
  <c r="AG27" i="2"/>
  <c r="AH27" i="2" s="1"/>
  <c r="AS27" i="2"/>
  <c r="AT27" i="2" s="1"/>
  <c r="BG26" i="2"/>
  <c r="AC28" i="2"/>
  <c r="AE28" i="2"/>
  <c r="Q28" i="2"/>
  <c r="S28" i="2"/>
  <c r="L27" i="2"/>
  <c r="O27" i="2"/>
  <c r="P27" i="2" s="1"/>
  <c r="U27" i="2"/>
  <c r="V27" i="2" s="1"/>
  <c r="AM27" i="2"/>
  <c r="AN27" i="2" s="1"/>
  <c r="BE27" i="2"/>
  <c r="BF27" i="2" s="1"/>
  <c r="BA28" i="2"/>
  <c r="BC28" i="2"/>
  <c r="AO28" i="2"/>
  <c r="AQ28" i="2"/>
  <c r="L20" i="4"/>
  <c r="F20" i="4"/>
  <c r="I20" i="4"/>
  <c r="C20" i="4"/>
  <c r="W28" i="2"/>
  <c r="Y28" i="2"/>
  <c r="K28" i="2"/>
  <c r="M28" i="2"/>
  <c r="N28" i="2" s="1"/>
  <c r="I29" i="2"/>
  <c r="E29" i="2"/>
  <c r="H29" i="2"/>
  <c r="D29" i="2"/>
  <c r="BG17" i="3"/>
  <c r="BH17" i="3" s="1"/>
  <c r="BI17" i="3" s="1"/>
  <c r="G29" i="2"/>
  <c r="C29" i="2"/>
  <c r="F29" i="2"/>
  <c r="B29" i="2"/>
  <c r="B22" i="4"/>
  <c r="A21" i="4"/>
  <c r="AY27" i="2"/>
  <c r="AZ27" i="2" s="1"/>
  <c r="AA27" i="2"/>
  <c r="AB27" i="2" s="1"/>
  <c r="AU28" i="2"/>
  <c r="AW28" i="2"/>
  <c r="AI28" i="2"/>
  <c r="AK28" i="2"/>
  <c r="D16" i="3" l="1"/>
  <c r="E16" i="3" s="1"/>
  <c r="E11" i="22" s="1"/>
  <c r="A25" i="19"/>
  <c r="J24" i="19"/>
  <c r="H24" i="19"/>
  <c r="L24" i="19"/>
  <c r="I24" i="19"/>
  <c r="E24" i="19"/>
  <c r="B24" i="19"/>
  <c r="F24" i="19"/>
  <c r="K24" i="19"/>
  <c r="C24" i="19"/>
  <c r="D24" i="19"/>
  <c r="G115" i="12"/>
  <c r="I115" i="12" s="1"/>
  <c r="J115" i="12" s="1"/>
  <c r="G115" i="10"/>
  <c r="I115" i="10" s="1"/>
  <c r="J115" i="10" s="1"/>
  <c r="G115" i="3"/>
  <c r="I115" i="3" s="1"/>
  <c r="J115" i="3" s="1"/>
  <c r="G16" i="3"/>
  <c r="H16" i="3" s="1"/>
  <c r="I16" i="3" s="1"/>
  <c r="J16" i="3" s="1"/>
  <c r="D117" i="3" s="1"/>
  <c r="G16" i="12"/>
  <c r="H16" i="12" s="1"/>
  <c r="I16" i="12" s="1"/>
  <c r="J16" i="12" s="1"/>
  <c r="D117" i="12" s="1"/>
  <c r="G16" i="10"/>
  <c r="H16" i="10" s="1"/>
  <c r="I16" i="10" s="1"/>
  <c r="J16" i="10" s="1"/>
  <c r="D117" i="10" s="1"/>
  <c r="BK16" i="3"/>
  <c r="BL16" i="3" s="1"/>
  <c r="BK16" i="12"/>
  <c r="BL16" i="12" s="1"/>
  <c r="BM16" i="12" s="1"/>
  <c r="BN16" i="12" s="1"/>
  <c r="AF117" i="12" s="1"/>
  <c r="BK16" i="10"/>
  <c r="BL16" i="10" s="1"/>
  <c r="BM16" i="10" s="1"/>
  <c r="BN16" i="10" s="1"/>
  <c r="AF117" i="10" s="1"/>
  <c r="C115" i="12"/>
  <c r="E115" i="12" s="1"/>
  <c r="F115" i="12" s="1"/>
  <c r="C115" i="10"/>
  <c r="E115" i="10" s="1"/>
  <c r="F115" i="10" s="1"/>
  <c r="C115" i="3"/>
  <c r="E115" i="3" s="1"/>
  <c r="F115" i="3" s="1"/>
  <c r="AA115" i="12"/>
  <c r="AC115" i="12" s="1"/>
  <c r="AD115" i="12" s="1"/>
  <c r="AA115" i="10"/>
  <c r="AC115" i="10" s="1"/>
  <c r="AD115" i="10" s="1"/>
  <c r="AA115" i="3"/>
  <c r="AC115" i="3" s="1"/>
  <c r="AD115" i="3" s="1"/>
  <c r="AM16" i="3"/>
  <c r="AN16" i="3" s="1"/>
  <c r="AO16" i="3" s="1"/>
  <c r="AM16" i="12"/>
  <c r="AN16" i="12" s="1"/>
  <c r="AO16" i="12" s="1"/>
  <c r="AP16" i="12" s="1"/>
  <c r="T117" i="12" s="1"/>
  <c r="AM16" i="10"/>
  <c r="AN16" i="10" s="1"/>
  <c r="AO16" i="10" s="1"/>
  <c r="AP16" i="10" s="1"/>
  <c r="T117" i="10" s="1"/>
  <c r="W16" i="3"/>
  <c r="X16" i="3" s="1"/>
  <c r="Y16" i="3" s="1"/>
  <c r="W16" i="12"/>
  <c r="X16" i="12" s="1"/>
  <c r="Y16" i="12" s="1"/>
  <c r="Z16" i="12" s="1"/>
  <c r="L117" i="12" s="1"/>
  <c r="W16" i="10"/>
  <c r="X16" i="10" s="1"/>
  <c r="Y16" i="10" s="1"/>
  <c r="Z16" i="10" s="1"/>
  <c r="L117" i="10" s="1"/>
  <c r="AE115" i="12"/>
  <c r="AG115" i="12" s="1"/>
  <c r="AH115" i="12" s="1"/>
  <c r="AE115" i="10"/>
  <c r="AG115" i="10" s="1"/>
  <c r="AH115" i="10" s="1"/>
  <c r="AE115" i="3"/>
  <c r="AG115" i="3" s="1"/>
  <c r="AH115" i="3" s="1"/>
  <c r="T17" i="10"/>
  <c r="U17" i="10" s="1"/>
  <c r="V17" i="10" s="1"/>
  <c r="D17" i="10"/>
  <c r="E17" i="10" s="1"/>
  <c r="F17" i="10" s="1"/>
  <c r="K18" i="10"/>
  <c r="AI18" i="10"/>
  <c r="AY18" i="10"/>
  <c r="S18" i="10"/>
  <c r="AQ18" i="10"/>
  <c r="C18" i="10"/>
  <c r="BG18" i="10"/>
  <c r="AA18" i="10"/>
  <c r="AB17" i="12"/>
  <c r="AC17" i="12" s="1"/>
  <c r="AD17" i="12" s="1"/>
  <c r="AJ17" i="12"/>
  <c r="AK17" i="12" s="1"/>
  <c r="AL17" i="12" s="1"/>
  <c r="AE16" i="3"/>
  <c r="AF16" i="3" s="1"/>
  <c r="AG16" i="3" s="1"/>
  <c r="AE16" i="12"/>
  <c r="AF16" i="12" s="1"/>
  <c r="AG16" i="12" s="1"/>
  <c r="AH16" i="12" s="1"/>
  <c r="P117" i="12" s="1"/>
  <c r="AE16" i="10"/>
  <c r="AF16" i="10" s="1"/>
  <c r="AG16" i="10" s="1"/>
  <c r="AH16" i="10" s="1"/>
  <c r="P117" i="10" s="1"/>
  <c r="O115" i="12"/>
  <c r="Q115" i="12" s="1"/>
  <c r="R115" i="12" s="1"/>
  <c r="O115" i="10"/>
  <c r="Q115" i="10" s="1"/>
  <c r="O115" i="3"/>
  <c r="L17" i="10"/>
  <c r="M17" i="10" s="1"/>
  <c r="N17" i="10" s="1"/>
  <c r="O16" i="3"/>
  <c r="P16" i="3" s="1"/>
  <c r="Q16" i="3" s="1"/>
  <c r="O16" i="12"/>
  <c r="P16" i="12" s="1"/>
  <c r="Q16" i="12" s="1"/>
  <c r="R16" i="12" s="1"/>
  <c r="H117" i="12" s="1"/>
  <c r="O16" i="10"/>
  <c r="P16" i="10" s="1"/>
  <c r="Q16" i="10" s="1"/>
  <c r="R16" i="10" s="1"/>
  <c r="H117" i="10" s="1"/>
  <c r="BC16" i="3"/>
  <c r="BD16" i="3" s="1"/>
  <c r="BE16" i="3" s="1"/>
  <c r="BF16" i="3" s="1"/>
  <c r="AB117" i="3" s="1"/>
  <c r="BC16" i="12"/>
  <c r="BD16" i="12" s="1"/>
  <c r="BE16" i="12" s="1"/>
  <c r="BF16" i="12" s="1"/>
  <c r="AB117" i="12" s="1"/>
  <c r="BC16" i="10"/>
  <c r="BD16" i="10" s="1"/>
  <c r="BE16" i="10" s="1"/>
  <c r="BF16" i="10" s="1"/>
  <c r="AB117" i="10" s="1"/>
  <c r="S115" i="12"/>
  <c r="U115" i="12" s="1"/>
  <c r="V115" i="12" s="1"/>
  <c r="S115" i="10"/>
  <c r="U115" i="10" s="1"/>
  <c r="V115" i="10" s="1"/>
  <c r="S115" i="3"/>
  <c r="U115" i="3" s="1"/>
  <c r="V115" i="3" s="1"/>
  <c r="A19" i="12"/>
  <c r="A19" i="10"/>
  <c r="AZ17" i="10"/>
  <c r="BA17" i="10" s="1"/>
  <c r="BB17" i="10" s="1"/>
  <c r="AR17" i="10"/>
  <c r="AS17" i="10" s="1"/>
  <c r="C18" i="12"/>
  <c r="AI18" i="12"/>
  <c r="AY18" i="12"/>
  <c r="BG18" i="12"/>
  <c r="K18" i="12"/>
  <c r="AA18" i="12"/>
  <c r="AQ18" i="12"/>
  <c r="S18" i="12"/>
  <c r="T17" i="12"/>
  <c r="U17" i="12" s="1"/>
  <c r="V17" i="12" s="1"/>
  <c r="D17" i="12"/>
  <c r="E17" i="12" s="1"/>
  <c r="F17" i="12" s="1"/>
  <c r="W115" i="12"/>
  <c r="Y115" i="12" s="1"/>
  <c r="Z115" i="12" s="1"/>
  <c r="W115" i="10"/>
  <c r="Y115" i="10" s="1"/>
  <c r="W115" i="3"/>
  <c r="Y115" i="3" s="1"/>
  <c r="Z115" i="3" s="1"/>
  <c r="AB17" i="10"/>
  <c r="AC17" i="10" s="1"/>
  <c r="AD17" i="10" s="1"/>
  <c r="AJ17" i="10"/>
  <c r="AK17" i="10" s="1"/>
  <c r="AL17" i="10" s="1"/>
  <c r="BH17" i="12"/>
  <c r="BI17" i="12" s="1"/>
  <c r="L17" i="12"/>
  <c r="M17" i="12" s="1"/>
  <c r="N17" i="12" s="1"/>
  <c r="AU16" i="3"/>
  <c r="AV16" i="3" s="1"/>
  <c r="AW16" i="3" s="1"/>
  <c r="AU16" i="12"/>
  <c r="AV16" i="12" s="1"/>
  <c r="AW16" i="12" s="1"/>
  <c r="AX16" i="12" s="1"/>
  <c r="X117" i="12" s="1"/>
  <c r="AU16" i="10"/>
  <c r="AV16" i="10" s="1"/>
  <c r="AW16" i="10" s="1"/>
  <c r="AX16" i="10" s="1"/>
  <c r="X117" i="10" s="1"/>
  <c r="K115" i="12"/>
  <c r="M115" i="12" s="1"/>
  <c r="N115" i="12" s="1"/>
  <c r="K115" i="10"/>
  <c r="M115" i="10" s="1"/>
  <c r="N115" i="10" s="1"/>
  <c r="K115" i="3"/>
  <c r="M115" i="3" s="1"/>
  <c r="N115" i="3" s="1"/>
  <c r="Q115" i="3"/>
  <c r="R115" i="3" s="1"/>
  <c r="BH17" i="10"/>
  <c r="BI17" i="10" s="1"/>
  <c r="BJ17" i="10" s="1"/>
  <c r="AR17" i="12"/>
  <c r="AS17" i="12" s="1"/>
  <c r="AT17" i="12" s="1"/>
  <c r="AZ17" i="12"/>
  <c r="BA17" i="12" s="1"/>
  <c r="N15" i="3"/>
  <c r="AH15" i="3"/>
  <c r="P116" i="3" s="1"/>
  <c r="Z15" i="3"/>
  <c r="L116" i="3" s="1"/>
  <c r="AL15" i="3"/>
  <c r="BJ17" i="3"/>
  <c r="BB16" i="3"/>
  <c r="AT15" i="3"/>
  <c r="BB15" i="3"/>
  <c r="A33" i="2"/>
  <c r="A19" i="3"/>
  <c r="AP15" i="3"/>
  <c r="T116" i="3" s="1"/>
  <c r="R15" i="3"/>
  <c r="H116" i="3" s="1"/>
  <c r="F16" i="3"/>
  <c r="AD15" i="3"/>
  <c r="AX15" i="3"/>
  <c r="X116" i="3" s="1"/>
  <c r="BF15" i="3"/>
  <c r="AB116" i="3" s="1"/>
  <c r="BM16" i="3"/>
  <c r="BN16" i="3" s="1"/>
  <c r="AF117" i="3" s="1"/>
  <c r="V15" i="3"/>
  <c r="AR16" i="3"/>
  <c r="AS16" i="3" s="1"/>
  <c r="C17" i="3"/>
  <c r="AI17" i="3"/>
  <c r="AA17" i="3"/>
  <c r="AY17" i="3"/>
  <c r="AZ17" i="3" s="1"/>
  <c r="BA17" i="3" s="1"/>
  <c r="AQ17" i="3"/>
  <c r="K17" i="3"/>
  <c r="S17" i="3"/>
  <c r="T16" i="3"/>
  <c r="U16" i="3" s="1"/>
  <c r="AB16" i="3"/>
  <c r="AC16" i="3" s="1"/>
  <c r="L16" i="3"/>
  <c r="M16" i="3" s="1"/>
  <c r="AJ16" i="3"/>
  <c r="AK16" i="3" s="1"/>
  <c r="AM28" i="2"/>
  <c r="AN28" i="2" s="1"/>
  <c r="AG28" i="2"/>
  <c r="AH28" i="2" s="1"/>
  <c r="AY28" i="2"/>
  <c r="AZ28" i="2" s="1"/>
  <c r="BG27" i="2"/>
  <c r="U28" i="2"/>
  <c r="V28" i="2" s="1"/>
  <c r="AI29" i="2"/>
  <c r="AK29" i="2"/>
  <c r="W29" i="2"/>
  <c r="Y29" i="2"/>
  <c r="C21" i="4"/>
  <c r="L21" i="4"/>
  <c r="I21" i="4"/>
  <c r="F21" i="4"/>
  <c r="Q29" i="2"/>
  <c r="S29" i="2"/>
  <c r="AU29" i="2"/>
  <c r="AW29" i="2"/>
  <c r="O28" i="2"/>
  <c r="P28" i="2" s="1"/>
  <c r="L28" i="2"/>
  <c r="AS28" i="2"/>
  <c r="AT28" i="2" s="1"/>
  <c r="A22" i="4"/>
  <c r="B23" i="4"/>
  <c r="AO29" i="2"/>
  <c r="AQ29" i="2"/>
  <c r="AC29" i="2"/>
  <c r="AE29" i="2"/>
  <c r="K29" i="2"/>
  <c r="M29" i="2"/>
  <c r="N29" i="2" s="1"/>
  <c r="BG18" i="3"/>
  <c r="BH18" i="3" s="1"/>
  <c r="BI18" i="3" s="1"/>
  <c r="G30" i="2"/>
  <c r="C30" i="2"/>
  <c r="F30" i="2"/>
  <c r="B30" i="2"/>
  <c r="I30" i="2"/>
  <c r="E30" i="2"/>
  <c r="H30" i="2"/>
  <c r="D30" i="2"/>
  <c r="BA29" i="2"/>
  <c r="BC29" i="2"/>
  <c r="AA28" i="2"/>
  <c r="AB28" i="2" s="1"/>
  <c r="BE28" i="2"/>
  <c r="BF28" i="2" s="1"/>
  <c r="D17" i="3" l="1"/>
  <c r="E17" i="3" s="1"/>
  <c r="E12" i="22" s="1"/>
  <c r="A26" i="19"/>
  <c r="I25" i="19"/>
  <c r="K25" i="19"/>
  <c r="H25" i="19"/>
  <c r="L25" i="19"/>
  <c r="D25" i="19"/>
  <c r="E25" i="19"/>
  <c r="B25" i="19"/>
  <c r="F25" i="19"/>
  <c r="J25" i="19"/>
  <c r="C25" i="19"/>
  <c r="R115" i="10"/>
  <c r="Z115" i="10"/>
  <c r="AU17" i="3"/>
  <c r="AV17" i="3" s="1"/>
  <c r="AW17" i="3" s="1"/>
  <c r="AU17" i="12"/>
  <c r="AV17" i="12" s="1"/>
  <c r="AW17" i="12" s="1"/>
  <c r="AX17" i="12" s="1"/>
  <c r="X118" i="12" s="1"/>
  <c r="AU17" i="10"/>
  <c r="AV17" i="10" s="1"/>
  <c r="AW17" i="10" s="1"/>
  <c r="AX17" i="10" s="1"/>
  <c r="X118" i="10" s="1"/>
  <c r="C116" i="12"/>
  <c r="E116" i="12" s="1"/>
  <c r="F116" i="12" s="1"/>
  <c r="C116" i="10"/>
  <c r="E116" i="10" s="1"/>
  <c r="F116" i="10" s="1"/>
  <c r="C116" i="3"/>
  <c r="E116" i="3" s="1"/>
  <c r="F116" i="3" s="1"/>
  <c r="O116" i="12"/>
  <c r="Q116" i="12" s="1"/>
  <c r="R116" i="12" s="1"/>
  <c r="O116" i="10"/>
  <c r="Q116" i="10" s="1"/>
  <c r="R116" i="10" s="1"/>
  <c r="O116" i="3"/>
  <c r="Q116" i="3" s="1"/>
  <c r="R116" i="3" s="1"/>
  <c r="T18" i="12"/>
  <c r="U18" i="12" s="1"/>
  <c r="V18" i="12" s="1"/>
  <c r="BH18" i="12"/>
  <c r="BI18" i="12" s="1"/>
  <c r="BJ18" i="12" s="1"/>
  <c r="AT17" i="10"/>
  <c r="D18" i="10"/>
  <c r="E18" i="10" s="1"/>
  <c r="AJ18" i="10"/>
  <c r="AK18" i="10" s="1"/>
  <c r="AL18" i="10" s="1"/>
  <c r="AE116" i="12"/>
  <c r="AG116" i="12" s="1"/>
  <c r="AH116" i="12" s="1"/>
  <c r="AE116" i="10"/>
  <c r="AG116" i="10" s="1"/>
  <c r="AH116" i="10" s="1"/>
  <c r="AE116" i="3"/>
  <c r="AG116" i="3" s="1"/>
  <c r="AH116" i="3" s="1"/>
  <c r="G17" i="3"/>
  <c r="H17" i="3" s="1"/>
  <c r="I17" i="3" s="1"/>
  <c r="J17" i="3" s="1"/>
  <c r="D118" i="3" s="1"/>
  <c r="G17" i="12"/>
  <c r="H17" i="12" s="1"/>
  <c r="I17" i="12" s="1"/>
  <c r="J17" i="12" s="1"/>
  <c r="D118" i="12" s="1"/>
  <c r="G17" i="10"/>
  <c r="H17" i="10" s="1"/>
  <c r="I17" i="10" s="1"/>
  <c r="J17" i="10" s="1"/>
  <c r="D118" i="10" s="1"/>
  <c r="G116" i="12"/>
  <c r="I116" i="12" s="1"/>
  <c r="J116" i="12" s="1"/>
  <c r="G116" i="10"/>
  <c r="I116" i="10" s="1"/>
  <c r="J116" i="10" s="1"/>
  <c r="G116" i="3"/>
  <c r="I116" i="3" s="1"/>
  <c r="J116" i="3" s="1"/>
  <c r="S116" i="12"/>
  <c r="U116" i="12" s="1"/>
  <c r="V116" i="12" s="1"/>
  <c r="S116" i="10"/>
  <c r="U116" i="10" s="1"/>
  <c r="S116" i="3"/>
  <c r="U116" i="3" s="1"/>
  <c r="V116" i="3" s="1"/>
  <c r="A20" i="12"/>
  <c r="A20" i="10"/>
  <c r="AR18" i="12"/>
  <c r="AS18" i="12" s="1"/>
  <c r="AT18" i="12" s="1"/>
  <c r="AZ18" i="12"/>
  <c r="BA18" i="12" s="1"/>
  <c r="BB18" i="12" s="1"/>
  <c r="AR18" i="10"/>
  <c r="AS18" i="10" s="1"/>
  <c r="AT18" i="10" s="1"/>
  <c r="L18" i="10"/>
  <c r="M18" i="10" s="1"/>
  <c r="N18" i="10" s="1"/>
  <c r="BK17" i="3"/>
  <c r="BL17" i="3" s="1"/>
  <c r="BK17" i="12"/>
  <c r="BL17" i="12" s="1"/>
  <c r="BM17" i="12" s="1"/>
  <c r="BN17" i="12" s="1"/>
  <c r="AF118" i="12" s="1"/>
  <c r="BK17" i="10"/>
  <c r="BL17" i="10" s="1"/>
  <c r="BM17" i="10" s="1"/>
  <c r="BN17" i="10" s="1"/>
  <c r="AF118" i="10" s="1"/>
  <c r="W17" i="3"/>
  <c r="X17" i="3" s="1"/>
  <c r="Y17" i="3" s="1"/>
  <c r="W17" i="12"/>
  <c r="X17" i="12" s="1"/>
  <c r="Y17" i="12" s="1"/>
  <c r="Z17" i="12" s="1"/>
  <c r="L118" i="12" s="1"/>
  <c r="W17" i="10"/>
  <c r="X17" i="10" s="1"/>
  <c r="Y17" i="10" s="1"/>
  <c r="Z17" i="10" s="1"/>
  <c r="L118" i="10" s="1"/>
  <c r="BC17" i="3"/>
  <c r="BD17" i="3" s="1"/>
  <c r="BE17" i="3" s="1"/>
  <c r="BF17" i="3" s="1"/>
  <c r="AB118" i="3" s="1"/>
  <c r="BC17" i="12"/>
  <c r="BD17" i="12" s="1"/>
  <c r="BE17" i="12" s="1"/>
  <c r="BF17" i="12" s="1"/>
  <c r="AB118" i="12" s="1"/>
  <c r="BC17" i="10"/>
  <c r="BD17" i="10" s="1"/>
  <c r="BE17" i="10" s="1"/>
  <c r="BF17" i="10" s="1"/>
  <c r="AB118" i="10" s="1"/>
  <c r="AM17" i="3"/>
  <c r="AN17" i="3" s="1"/>
  <c r="AO17" i="3" s="1"/>
  <c r="AM17" i="12"/>
  <c r="AN17" i="12" s="1"/>
  <c r="AO17" i="12" s="1"/>
  <c r="AP17" i="12" s="1"/>
  <c r="T118" i="12" s="1"/>
  <c r="AM17" i="10"/>
  <c r="AN17" i="10" s="1"/>
  <c r="AO17" i="10" s="1"/>
  <c r="AP17" i="10" s="1"/>
  <c r="T118" i="10" s="1"/>
  <c r="W116" i="12"/>
  <c r="Y116" i="12" s="1"/>
  <c r="Z116" i="12" s="1"/>
  <c r="W116" i="10"/>
  <c r="Y116" i="10" s="1"/>
  <c r="Z116" i="10" s="1"/>
  <c r="W116" i="3"/>
  <c r="Y116" i="3" s="1"/>
  <c r="Z116" i="3" s="1"/>
  <c r="BB17" i="12"/>
  <c r="BJ17" i="12"/>
  <c r="AB18" i="12"/>
  <c r="AC18" i="12" s="1"/>
  <c r="AD18" i="12" s="1"/>
  <c r="AJ18" i="12"/>
  <c r="AK18" i="12" s="1"/>
  <c r="AL18" i="12" s="1"/>
  <c r="AI19" i="10"/>
  <c r="BG19" i="10"/>
  <c r="AQ19" i="10"/>
  <c r="C19" i="10"/>
  <c r="AY19" i="10"/>
  <c r="S19" i="10"/>
  <c r="K19" i="10"/>
  <c r="AA19" i="10"/>
  <c r="AB18" i="10"/>
  <c r="AC18" i="10" s="1"/>
  <c r="AD18" i="10" s="1"/>
  <c r="T18" i="10"/>
  <c r="U18" i="10" s="1"/>
  <c r="V18" i="10" s="1"/>
  <c r="K116" i="12"/>
  <c r="M116" i="12" s="1"/>
  <c r="N116" i="12" s="1"/>
  <c r="K116" i="10"/>
  <c r="M116" i="10" s="1"/>
  <c r="N116" i="10" s="1"/>
  <c r="K116" i="3"/>
  <c r="M116" i="3" s="1"/>
  <c r="N116" i="3" s="1"/>
  <c r="AE17" i="3"/>
  <c r="AF17" i="3" s="1"/>
  <c r="AG17" i="3" s="1"/>
  <c r="AE17" i="12"/>
  <c r="AF17" i="12" s="1"/>
  <c r="AG17" i="12" s="1"/>
  <c r="AH17" i="12" s="1"/>
  <c r="P118" i="12" s="1"/>
  <c r="AE17" i="10"/>
  <c r="AF17" i="10" s="1"/>
  <c r="AG17" i="10" s="1"/>
  <c r="AH17" i="10" s="1"/>
  <c r="P118" i="10" s="1"/>
  <c r="O17" i="3"/>
  <c r="P17" i="3" s="1"/>
  <c r="Q17" i="3" s="1"/>
  <c r="O17" i="12"/>
  <c r="P17" i="12" s="1"/>
  <c r="Q17" i="12" s="1"/>
  <c r="R17" i="12" s="1"/>
  <c r="H118" i="12" s="1"/>
  <c r="O17" i="10"/>
  <c r="P17" i="10" s="1"/>
  <c r="Q17" i="10" s="1"/>
  <c r="R17" i="10" s="1"/>
  <c r="H118" i="10" s="1"/>
  <c r="AA116" i="12"/>
  <c r="AC116" i="12" s="1"/>
  <c r="AD116" i="12" s="1"/>
  <c r="AA116" i="10"/>
  <c r="AC116" i="10" s="1"/>
  <c r="AD116" i="10" s="1"/>
  <c r="AA116" i="3"/>
  <c r="AC116" i="3" s="1"/>
  <c r="AD116" i="3" s="1"/>
  <c r="L18" i="12"/>
  <c r="M18" i="12" s="1"/>
  <c r="N18" i="12" s="1"/>
  <c r="D18" i="12"/>
  <c r="E18" i="12" s="1"/>
  <c r="F18" i="12" s="1"/>
  <c r="K19" i="12"/>
  <c r="AY19" i="12"/>
  <c r="AQ19" i="12"/>
  <c r="S19" i="12"/>
  <c r="BG19" i="12"/>
  <c r="AA19" i="12"/>
  <c r="C19" i="12"/>
  <c r="AI19" i="12"/>
  <c r="BH18" i="10"/>
  <c r="BI18" i="10" s="1"/>
  <c r="AZ18" i="10"/>
  <c r="BA18" i="10" s="1"/>
  <c r="BB18" i="10" s="1"/>
  <c r="N16" i="3"/>
  <c r="AL16" i="3"/>
  <c r="AD16" i="3"/>
  <c r="BJ18" i="3"/>
  <c r="V16" i="3"/>
  <c r="BB17" i="3"/>
  <c r="AX16" i="3"/>
  <c r="X117" i="3" s="1"/>
  <c r="R16" i="3"/>
  <c r="H117" i="3" s="1"/>
  <c r="AT16" i="3"/>
  <c r="A34" i="2"/>
  <c r="A20" i="3"/>
  <c r="AH16" i="3"/>
  <c r="P117" i="3" s="1"/>
  <c r="BM17" i="3"/>
  <c r="BN17" i="3" s="1"/>
  <c r="AF118" i="3" s="1"/>
  <c r="AR17" i="3"/>
  <c r="AS17" i="3" s="1"/>
  <c r="T17" i="3"/>
  <c r="U17" i="3" s="1"/>
  <c r="AB17" i="3"/>
  <c r="AC17" i="3" s="1"/>
  <c r="C18" i="3"/>
  <c r="S18" i="3"/>
  <c r="AA18" i="3"/>
  <c r="AY18" i="3"/>
  <c r="AZ18" i="3" s="1"/>
  <c r="BA18" i="3" s="1"/>
  <c r="AQ18" i="3"/>
  <c r="K18" i="3"/>
  <c r="AI18" i="3"/>
  <c r="AP16" i="3"/>
  <c r="T117" i="3" s="1"/>
  <c r="Z16" i="3"/>
  <c r="L117" i="3" s="1"/>
  <c r="F17" i="3"/>
  <c r="L17" i="3"/>
  <c r="M17" i="3" s="1"/>
  <c r="AJ17" i="3"/>
  <c r="AK17" i="3" s="1"/>
  <c r="AY29" i="2"/>
  <c r="AZ29" i="2" s="1"/>
  <c r="BE29" i="2"/>
  <c r="BF29" i="2" s="1"/>
  <c r="U29" i="2"/>
  <c r="V29" i="2" s="1"/>
  <c r="AM29" i="2"/>
  <c r="AN29" i="2" s="1"/>
  <c r="BG28" i="2"/>
  <c r="AA29" i="2"/>
  <c r="AB29" i="2" s="1"/>
  <c r="BA30" i="2"/>
  <c r="BC30" i="2"/>
  <c r="AO30" i="2"/>
  <c r="AQ30" i="2"/>
  <c r="B24" i="4"/>
  <c r="A23" i="4"/>
  <c r="W30" i="2"/>
  <c r="Y30" i="2"/>
  <c r="K30" i="2"/>
  <c r="M30" i="2"/>
  <c r="N30" i="2" s="1"/>
  <c r="I31" i="2"/>
  <c r="E31" i="2"/>
  <c r="H31" i="2"/>
  <c r="D31" i="2"/>
  <c r="BG19" i="3"/>
  <c r="G31" i="2"/>
  <c r="C31" i="2"/>
  <c r="F31" i="2"/>
  <c r="B31" i="2"/>
  <c r="AG29" i="2"/>
  <c r="AH29" i="2" s="1"/>
  <c r="I22" i="4"/>
  <c r="C22" i="4"/>
  <c r="L22" i="4"/>
  <c r="F22" i="4"/>
  <c r="AU30" i="2"/>
  <c r="AW30" i="2"/>
  <c r="AI30" i="2"/>
  <c r="AK30" i="2"/>
  <c r="AC30" i="2"/>
  <c r="AE30" i="2"/>
  <c r="Q30" i="2"/>
  <c r="S30" i="2"/>
  <c r="L29" i="2"/>
  <c r="O29" i="2"/>
  <c r="P29" i="2" s="1"/>
  <c r="AS29" i="2"/>
  <c r="AT29" i="2" s="1"/>
  <c r="D18" i="3" l="1"/>
  <c r="E18" i="3" s="1"/>
  <c r="E13" i="22" s="1"/>
  <c r="A27" i="19"/>
  <c r="H26" i="19"/>
  <c r="L26" i="19"/>
  <c r="J26" i="19"/>
  <c r="K26" i="19"/>
  <c r="I26" i="19"/>
  <c r="C26" i="19"/>
  <c r="D26" i="19"/>
  <c r="E26" i="19"/>
  <c r="B26" i="19"/>
  <c r="F26" i="19"/>
  <c r="V116" i="10"/>
  <c r="G18" i="3"/>
  <c r="H18" i="3" s="1"/>
  <c r="I18" i="3" s="1"/>
  <c r="G18" i="12"/>
  <c r="H18" i="12" s="1"/>
  <c r="I18" i="12" s="1"/>
  <c r="J18" i="12" s="1"/>
  <c r="D119" i="12" s="1"/>
  <c r="G18" i="10"/>
  <c r="H18" i="10" s="1"/>
  <c r="I18" i="10" s="1"/>
  <c r="J18" i="10" s="1"/>
  <c r="D119" i="10" s="1"/>
  <c r="AA117" i="12"/>
  <c r="AC117" i="12" s="1"/>
  <c r="AD117" i="12" s="1"/>
  <c r="AA117" i="10"/>
  <c r="AC117" i="10" s="1"/>
  <c r="AD117" i="10" s="1"/>
  <c r="AA117" i="3"/>
  <c r="AC117" i="3" s="1"/>
  <c r="AD117" i="3" s="1"/>
  <c r="C117" i="12"/>
  <c r="E117" i="12" s="1"/>
  <c r="F117" i="12" s="1"/>
  <c r="C117" i="10"/>
  <c r="E117" i="10" s="1"/>
  <c r="F117" i="10" s="1"/>
  <c r="C117" i="3"/>
  <c r="E117" i="3" s="1"/>
  <c r="F117" i="3" s="1"/>
  <c r="AM18" i="3"/>
  <c r="AN18" i="3" s="1"/>
  <c r="AO18" i="3" s="1"/>
  <c r="AM18" i="12"/>
  <c r="AN18" i="12" s="1"/>
  <c r="AO18" i="12" s="1"/>
  <c r="AP18" i="12" s="1"/>
  <c r="T119" i="12" s="1"/>
  <c r="AM18" i="10"/>
  <c r="AN18" i="10" s="1"/>
  <c r="AO18" i="10" s="1"/>
  <c r="AP18" i="10" s="1"/>
  <c r="T119" i="10" s="1"/>
  <c r="W18" i="3"/>
  <c r="X18" i="3" s="1"/>
  <c r="Y18" i="3" s="1"/>
  <c r="W18" i="12"/>
  <c r="X18" i="12" s="1"/>
  <c r="Y18" i="12" s="1"/>
  <c r="Z18" i="12" s="1"/>
  <c r="L119" i="12" s="1"/>
  <c r="W18" i="10"/>
  <c r="X18" i="10" s="1"/>
  <c r="Y18" i="10" s="1"/>
  <c r="Z18" i="10" s="1"/>
  <c r="L119" i="10" s="1"/>
  <c r="S117" i="12"/>
  <c r="U117" i="12" s="1"/>
  <c r="V117" i="12" s="1"/>
  <c r="S117" i="10"/>
  <c r="U117" i="10" s="1"/>
  <c r="V117" i="10" s="1"/>
  <c r="S117" i="3"/>
  <c r="U117" i="3" s="1"/>
  <c r="V117" i="3" s="1"/>
  <c r="A21" i="12"/>
  <c r="A21" i="10"/>
  <c r="AJ19" i="12"/>
  <c r="AK19" i="12" s="1"/>
  <c r="AL19" i="12" s="1"/>
  <c r="T19" i="12"/>
  <c r="U19" i="12" s="1"/>
  <c r="V19" i="12" s="1"/>
  <c r="L19" i="10"/>
  <c r="M19" i="10" s="1"/>
  <c r="AR19" i="10"/>
  <c r="AS19" i="10" s="1"/>
  <c r="W117" i="12"/>
  <c r="Y117" i="12" s="1"/>
  <c r="Z117" i="12" s="1"/>
  <c r="W117" i="10"/>
  <c r="Y117" i="10" s="1"/>
  <c r="Z117" i="10" s="1"/>
  <c r="W117" i="3"/>
  <c r="Y117" i="3" s="1"/>
  <c r="Z117" i="3" s="1"/>
  <c r="G117" i="12"/>
  <c r="I117" i="12" s="1"/>
  <c r="J117" i="12" s="1"/>
  <c r="G117" i="10"/>
  <c r="I117" i="10" s="1"/>
  <c r="J117" i="10" s="1"/>
  <c r="G117" i="3"/>
  <c r="I117" i="3" s="1"/>
  <c r="J117" i="3" s="1"/>
  <c r="BJ18" i="10"/>
  <c r="D19" i="12"/>
  <c r="E19" i="12" s="1"/>
  <c r="F19" i="12" s="1"/>
  <c r="AR19" i="12"/>
  <c r="AS19" i="12" s="1"/>
  <c r="AT19" i="12" s="1"/>
  <c r="T19" i="10"/>
  <c r="U19" i="10" s="1"/>
  <c r="BH19" i="10"/>
  <c r="BI19" i="10" s="1"/>
  <c r="BJ19" i="10" s="1"/>
  <c r="F18" i="10"/>
  <c r="BK18" i="3"/>
  <c r="BL18" i="3" s="1"/>
  <c r="BM18" i="3" s="1"/>
  <c r="BN18" i="3" s="1"/>
  <c r="AF119" i="3" s="1"/>
  <c r="BK18" i="12"/>
  <c r="BL18" i="12" s="1"/>
  <c r="BM18" i="12" s="1"/>
  <c r="BN18" i="12" s="1"/>
  <c r="AF119" i="12" s="1"/>
  <c r="BK18" i="10"/>
  <c r="BL18" i="10" s="1"/>
  <c r="BM18" i="10" s="1"/>
  <c r="BN18" i="10" s="1"/>
  <c r="AF119" i="10" s="1"/>
  <c r="O18" i="3"/>
  <c r="P18" i="3" s="1"/>
  <c r="Q18" i="3" s="1"/>
  <c r="O18" i="12"/>
  <c r="P18" i="12" s="1"/>
  <c r="Q18" i="12" s="1"/>
  <c r="R18" i="12" s="1"/>
  <c r="H119" i="12" s="1"/>
  <c r="O18" i="10"/>
  <c r="P18" i="10" s="1"/>
  <c r="Q18" i="10" s="1"/>
  <c r="R18" i="10" s="1"/>
  <c r="H119" i="10" s="1"/>
  <c r="BC18" i="3"/>
  <c r="BD18" i="3" s="1"/>
  <c r="BE18" i="3" s="1"/>
  <c r="BF18" i="3" s="1"/>
  <c r="AB119" i="3" s="1"/>
  <c r="BC18" i="12"/>
  <c r="BD18" i="12" s="1"/>
  <c r="BE18" i="12" s="1"/>
  <c r="BF18" i="12" s="1"/>
  <c r="AB119" i="12" s="1"/>
  <c r="BC18" i="10"/>
  <c r="BD18" i="10" s="1"/>
  <c r="BE18" i="10" s="1"/>
  <c r="BF18" i="10" s="1"/>
  <c r="AB119" i="10" s="1"/>
  <c r="O117" i="12"/>
  <c r="Q117" i="12" s="1"/>
  <c r="R117" i="12" s="1"/>
  <c r="O117" i="10"/>
  <c r="Q117" i="10" s="1"/>
  <c r="R117" i="10" s="1"/>
  <c r="O117" i="3"/>
  <c r="Q117" i="3" s="1"/>
  <c r="R117" i="3" s="1"/>
  <c r="AU18" i="3"/>
  <c r="AV18" i="3" s="1"/>
  <c r="AW18" i="3" s="1"/>
  <c r="AU18" i="12"/>
  <c r="AV18" i="12" s="1"/>
  <c r="AW18" i="12" s="1"/>
  <c r="AX18" i="12" s="1"/>
  <c r="X119" i="12" s="1"/>
  <c r="AU18" i="10"/>
  <c r="AV18" i="10" s="1"/>
  <c r="AW18" i="10" s="1"/>
  <c r="AX18" i="10" s="1"/>
  <c r="X119" i="10" s="1"/>
  <c r="AE18" i="3"/>
  <c r="AF18" i="3" s="1"/>
  <c r="AG18" i="3" s="1"/>
  <c r="AE18" i="12"/>
  <c r="AF18" i="12" s="1"/>
  <c r="AG18" i="12" s="1"/>
  <c r="AH18" i="12" s="1"/>
  <c r="P119" i="12" s="1"/>
  <c r="AE18" i="10"/>
  <c r="AF18" i="10" s="1"/>
  <c r="AG18" i="10" s="1"/>
  <c r="AH18" i="10" s="1"/>
  <c r="P119" i="10" s="1"/>
  <c r="K117" i="12"/>
  <c r="M117" i="12" s="1"/>
  <c r="N117" i="12" s="1"/>
  <c r="K117" i="10"/>
  <c r="M117" i="10" s="1"/>
  <c r="N117" i="10" s="1"/>
  <c r="K117" i="3"/>
  <c r="M117" i="3" s="1"/>
  <c r="N117" i="3" s="1"/>
  <c r="AE117" i="12"/>
  <c r="AG117" i="12" s="1"/>
  <c r="AH117" i="12" s="1"/>
  <c r="AE117" i="10"/>
  <c r="AG117" i="10" s="1"/>
  <c r="AH117" i="10" s="1"/>
  <c r="AE117" i="3"/>
  <c r="AG117" i="3" s="1"/>
  <c r="AH117" i="3" s="1"/>
  <c r="AB19" i="12"/>
  <c r="AC19" i="12" s="1"/>
  <c r="AD19" i="12" s="1"/>
  <c r="AZ19" i="12"/>
  <c r="BA19" i="12" s="1"/>
  <c r="BB19" i="12" s="1"/>
  <c r="AZ19" i="10"/>
  <c r="BA19" i="10" s="1"/>
  <c r="AJ19" i="10"/>
  <c r="AK19" i="10" s="1"/>
  <c r="AY20" i="10"/>
  <c r="AQ20" i="10"/>
  <c r="C20" i="10"/>
  <c r="BG20" i="10"/>
  <c r="K20" i="10"/>
  <c r="S20" i="10"/>
  <c r="AA20" i="10"/>
  <c r="AI20" i="10"/>
  <c r="BH19" i="12"/>
  <c r="BI19" i="12" s="1"/>
  <c r="BJ19" i="12" s="1"/>
  <c r="L19" i="12"/>
  <c r="M19" i="12" s="1"/>
  <c r="N19" i="12" s="1"/>
  <c r="AB19" i="10"/>
  <c r="AC19" i="10" s="1"/>
  <c r="AD19" i="10" s="1"/>
  <c r="D19" i="10"/>
  <c r="E19" i="10" s="1"/>
  <c r="AA20" i="12"/>
  <c r="K20" i="12"/>
  <c r="C20" i="12"/>
  <c r="AI20" i="12"/>
  <c r="AQ20" i="12"/>
  <c r="AY20" i="12"/>
  <c r="S20" i="12"/>
  <c r="BG20" i="12"/>
  <c r="V17" i="3"/>
  <c r="AT17" i="3"/>
  <c r="N17" i="3"/>
  <c r="AL17" i="3"/>
  <c r="BB18" i="3"/>
  <c r="AD17" i="3"/>
  <c r="BG29" i="2"/>
  <c r="A35" i="2"/>
  <c r="A21" i="3"/>
  <c r="Z17" i="3"/>
  <c r="L118" i="3" s="1"/>
  <c r="AX17" i="3"/>
  <c r="X118" i="3" s="1"/>
  <c r="BH19" i="3"/>
  <c r="BI19" i="3" s="1"/>
  <c r="R17" i="3"/>
  <c r="H118" i="3" s="1"/>
  <c r="AH17" i="3"/>
  <c r="P118" i="3" s="1"/>
  <c r="L18" i="3"/>
  <c r="M18" i="3" s="1"/>
  <c r="T18" i="3"/>
  <c r="U18" i="3" s="1"/>
  <c r="AP17" i="3"/>
  <c r="T118" i="3" s="1"/>
  <c r="AR18" i="3"/>
  <c r="AS18" i="3" s="1"/>
  <c r="J18" i="3"/>
  <c r="D119" i="3" s="1"/>
  <c r="C19" i="3"/>
  <c r="K19" i="3"/>
  <c r="S19" i="3"/>
  <c r="AY19" i="3"/>
  <c r="AI19" i="3"/>
  <c r="AA19" i="3"/>
  <c r="AQ19" i="3"/>
  <c r="F18" i="3"/>
  <c r="AJ18" i="3"/>
  <c r="AK18" i="3" s="1"/>
  <c r="AB18" i="3"/>
  <c r="AC18" i="3" s="1"/>
  <c r="AA30" i="2"/>
  <c r="AB30" i="2" s="1"/>
  <c r="AM30" i="2"/>
  <c r="AN30" i="2" s="1"/>
  <c r="AS30" i="2"/>
  <c r="AT30" i="2" s="1"/>
  <c r="U30" i="2"/>
  <c r="V30" i="2" s="1"/>
  <c r="AG30" i="2"/>
  <c r="AH30" i="2" s="1"/>
  <c r="AY30" i="2"/>
  <c r="AZ30" i="2" s="1"/>
  <c r="BE30" i="2"/>
  <c r="BF30" i="2" s="1"/>
  <c r="Q31" i="2"/>
  <c r="S31" i="2"/>
  <c r="AU31" i="2"/>
  <c r="AW31" i="2"/>
  <c r="L30" i="2"/>
  <c r="O30" i="2"/>
  <c r="P30" i="2" s="1"/>
  <c r="B25" i="4"/>
  <c r="A25" i="4" s="1"/>
  <c r="A24" i="4"/>
  <c r="AO31" i="2"/>
  <c r="AQ31" i="2"/>
  <c r="AC31" i="2"/>
  <c r="AE31" i="2"/>
  <c r="K31" i="2"/>
  <c r="M31" i="2"/>
  <c r="N31" i="2" s="1"/>
  <c r="G32" i="2"/>
  <c r="C32" i="2"/>
  <c r="BG20" i="3"/>
  <c r="BH20" i="3" s="1"/>
  <c r="BI20" i="3" s="1"/>
  <c r="F32" i="2"/>
  <c r="B32" i="2"/>
  <c r="I32" i="2"/>
  <c r="E32" i="2"/>
  <c r="H32" i="2"/>
  <c r="D32" i="2"/>
  <c r="BA31" i="2"/>
  <c r="BC31" i="2"/>
  <c r="AI31" i="2"/>
  <c r="AK31" i="2"/>
  <c r="W31" i="2"/>
  <c r="Y31" i="2"/>
  <c r="F23" i="4"/>
  <c r="I23" i="4"/>
  <c r="L23" i="4"/>
  <c r="C23" i="4"/>
  <c r="D19" i="3" l="1"/>
  <c r="E19" i="3" s="1"/>
  <c r="E14" i="22" s="1"/>
  <c r="A28" i="19"/>
  <c r="K27" i="19"/>
  <c r="I27" i="19"/>
  <c r="J27" i="19"/>
  <c r="B27" i="19"/>
  <c r="F27" i="19"/>
  <c r="H27" i="19"/>
  <c r="C27" i="19"/>
  <c r="L27" i="19"/>
  <c r="D27" i="19"/>
  <c r="E27" i="19"/>
  <c r="W19" i="3"/>
  <c r="X19" i="3" s="1"/>
  <c r="Y19" i="3" s="1"/>
  <c r="W19" i="12"/>
  <c r="X19" i="12" s="1"/>
  <c r="Y19" i="12" s="1"/>
  <c r="Z19" i="12" s="1"/>
  <c r="L120" i="12" s="1"/>
  <c r="W19" i="10"/>
  <c r="X19" i="10" s="1"/>
  <c r="Y19" i="10" s="1"/>
  <c r="Z19" i="10" s="1"/>
  <c r="L120" i="10" s="1"/>
  <c r="AA118" i="12"/>
  <c r="AC118" i="12" s="1"/>
  <c r="AD118" i="12" s="1"/>
  <c r="AA118" i="10"/>
  <c r="AC118" i="10" s="1"/>
  <c r="AD118" i="10" s="1"/>
  <c r="AA118" i="3"/>
  <c r="AC118" i="3" s="1"/>
  <c r="AD118" i="3" s="1"/>
  <c r="AR20" i="12"/>
  <c r="AS20" i="12" s="1"/>
  <c r="AT20" i="12" s="1"/>
  <c r="AB20" i="12"/>
  <c r="AC20" i="12" s="1"/>
  <c r="AD20" i="12" s="1"/>
  <c r="T20" i="10"/>
  <c r="U20" i="10" s="1"/>
  <c r="V20" i="10" s="1"/>
  <c r="BC19" i="3"/>
  <c r="BD19" i="3" s="1"/>
  <c r="BE19" i="3" s="1"/>
  <c r="BC19" i="12"/>
  <c r="BD19" i="12" s="1"/>
  <c r="BE19" i="12" s="1"/>
  <c r="BF19" i="12" s="1"/>
  <c r="AB120" i="12" s="1"/>
  <c r="BC19" i="10"/>
  <c r="BD19" i="10" s="1"/>
  <c r="BE19" i="10" s="1"/>
  <c r="BF19" i="10" s="1"/>
  <c r="AB120" i="10" s="1"/>
  <c r="AM19" i="3"/>
  <c r="AN19" i="3" s="1"/>
  <c r="AO19" i="3" s="1"/>
  <c r="AM19" i="12"/>
  <c r="AN19" i="12" s="1"/>
  <c r="AO19" i="12" s="1"/>
  <c r="AP19" i="12" s="1"/>
  <c r="T120" i="12" s="1"/>
  <c r="AM19" i="10"/>
  <c r="AN19" i="10" s="1"/>
  <c r="AO19" i="10" s="1"/>
  <c r="AP19" i="10" s="1"/>
  <c r="T120" i="10" s="1"/>
  <c r="C118" i="12"/>
  <c r="E118" i="12" s="1"/>
  <c r="F118" i="12" s="1"/>
  <c r="C118" i="10"/>
  <c r="E118" i="10" s="1"/>
  <c r="F118" i="10" s="1"/>
  <c r="C118" i="3"/>
  <c r="E118" i="3" s="1"/>
  <c r="F118" i="3" s="1"/>
  <c r="O118" i="12"/>
  <c r="Q118" i="12" s="1"/>
  <c r="R118" i="12" s="1"/>
  <c r="O118" i="10"/>
  <c r="Q118" i="10" s="1"/>
  <c r="R118" i="10" s="1"/>
  <c r="O118" i="3"/>
  <c r="Q118" i="3" s="1"/>
  <c r="R118" i="3" s="1"/>
  <c r="K118" i="12"/>
  <c r="M118" i="12" s="1"/>
  <c r="N118" i="12" s="1"/>
  <c r="K118" i="10"/>
  <c r="M118" i="10" s="1"/>
  <c r="N118" i="10" s="1"/>
  <c r="K118" i="3"/>
  <c r="M118" i="3" s="1"/>
  <c r="N118" i="3" s="1"/>
  <c r="A22" i="12"/>
  <c r="A22" i="10"/>
  <c r="BH20" i="12"/>
  <c r="BI20" i="12" s="1"/>
  <c r="AJ20" i="12"/>
  <c r="AK20" i="12" s="1"/>
  <c r="AL20" i="12" s="1"/>
  <c r="F19" i="10"/>
  <c r="L20" i="10"/>
  <c r="M20" i="10" s="1"/>
  <c r="AZ20" i="10"/>
  <c r="BA20" i="10" s="1"/>
  <c r="BB20" i="10" s="1"/>
  <c r="BB19" i="10"/>
  <c r="N19" i="10"/>
  <c r="AU19" i="3"/>
  <c r="AV19" i="3" s="1"/>
  <c r="AW19" i="3" s="1"/>
  <c r="AU19" i="12"/>
  <c r="AV19" i="12" s="1"/>
  <c r="AW19" i="12" s="1"/>
  <c r="AX19" i="12" s="1"/>
  <c r="X120" i="12" s="1"/>
  <c r="AU19" i="10"/>
  <c r="AV19" i="10" s="1"/>
  <c r="AW19" i="10" s="1"/>
  <c r="AX19" i="10" s="1"/>
  <c r="X120" i="10" s="1"/>
  <c r="S118" i="12"/>
  <c r="U118" i="12" s="1"/>
  <c r="V118" i="12" s="1"/>
  <c r="S118" i="10"/>
  <c r="U118" i="10" s="1"/>
  <c r="V118" i="10" s="1"/>
  <c r="S118" i="3"/>
  <c r="U118" i="3" s="1"/>
  <c r="V118" i="3" s="1"/>
  <c r="AR20" i="10"/>
  <c r="AS20" i="10" s="1"/>
  <c r="AT20" i="10" s="1"/>
  <c r="AE19" i="3"/>
  <c r="AF19" i="3" s="1"/>
  <c r="AG19" i="3" s="1"/>
  <c r="AE19" i="12"/>
  <c r="AF19" i="12" s="1"/>
  <c r="AG19" i="12" s="1"/>
  <c r="AH19" i="12" s="1"/>
  <c r="P120" i="12" s="1"/>
  <c r="AE19" i="10"/>
  <c r="AF19" i="10" s="1"/>
  <c r="AG19" i="10" s="1"/>
  <c r="AH19" i="10" s="1"/>
  <c r="P120" i="10" s="1"/>
  <c r="G118" i="12"/>
  <c r="I118" i="12" s="1"/>
  <c r="J118" i="12" s="1"/>
  <c r="G118" i="10"/>
  <c r="I118" i="10" s="1"/>
  <c r="J118" i="10" s="1"/>
  <c r="G118" i="3"/>
  <c r="I118" i="3" s="1"/>
  <c r="J118" i="3" s="1"/>
  <c r="T20" i="12"/>
  <c r="U20" i="12" s="1"/>
  <c r="D20" i="12"/>
  <c r="E20" i="12" s="1"/>
  <c r="F20" i="12" s="1"/>
  <c r="AJ20" i="10"/>
  <c r="AK20" i="10" s="1"/>
  <c r="AL20" i="10" s="1"/>
  <c r="BH20" i="10"/>
  <c r="BI20" i="10" s="1"/>
  <c r="BJ20" i="10" s="1"/>
  <c r="AL19" i="10"/>
  <c r="AT19" i="10"/>
  <c r="AQ21" i="10"/>
  <c r="AA21" i="10"/>
  <c r="AI21" i="10"/>
  <c r="BG21" i="10"/>
  <c r="K21" i="10"/>
  <c r="C21" i="10"/>
  <c r="AY21" i="10"/>
  <c r="S21" i="10"/>
  <c r="G19" i="3"/>
  <c r="H19" i="3" s="1"/>
  <c r="I19" i="3" s="1"/>
  <c r="J19" i="3" s="1"/>
  <c r="D120" i="3" s="1"/>
  <c r="G19" i="12"/>
  <c r="H19" i="12" s="1"/>
  <c r="I19" i="12" s="1"/>
  <c r="J19" i="12" s="1"/>
  <c r="D120" i="12" s="1"/>
  <c r="G19" i="10"/>
  <c r="H19" i="10" s="1"/>
  <c r="I19" i="10" s="1"/>
  <c r="J19" i="10" s="1"/>
  <c r="D120" i="10" s="1"/>
  <c r="BK19" i="3"/>
  <c r="BL19" i="3" s="1"/>
  <c r="BM19" i="3" s="1"/>
  <c r="BN19" i="3" s="1"/>
  <c r="AF120" i="3" s="1"/>
  <c r="BK19" i="12"/>
  <c r="BL19" i="12" s="1"/>
  <c r="BM19" i="12" s="1"/>
  <c r="BN19" i="12" s="1"/>
  <c r="AF120" i="12" s="1"/>
  <c r="BK19" i="10"/>
  <c r="BL19" i="10" s="1"/>
  <c r="BM19" i="10" s="1"/>
  <c r="BN19" i="10" s="1"/>
  <c r="AF120" i="10" s="1"/>
  <c r="O19" i="3"/>
  <c r="P19" i="3" s="1"/>
  <c r="Q19" i="3" s="1"/>
  <c r="O19" i="12"/>
  <c r="P19" i="12" s="1"/>
  <c r="Q19" i="12" s="1"/>
  <c r="R19" i="12" s="1"/>
  <c r="H120" i="12" s="1"/>
  <c r="O19" i="10"/>
  <c r="P19" i="10" s="1"/>
  <c r="Q19" i="10" s="1"/>
  <c r="R19" i="10" s="1"/>
  <c r="H120" i="10" s="1"/>
  <c r="AE118" i="12"/>
  <c r="AG118" i="12" s="1"/>
  <c r="AH118" i="12" s="1"/>
  <c r="AE118" i="10"/>
  <c r="AG118" i="10" s="1"/>
  <c r="AH118" i="10" s="1"/>
  <c r="AE118" i="3"/>
  <c r="AG118" i="3" s="1"/>
  <c r="AH118" i="3" s="1"/>
  <c r="W118" i="12"/>
  <c r="Y118" i="12" s="1"/>
  <c r="Z118" i="12" s="1"/>
  <c r="W118" i="10"/>
  <c r="Y118" i="10" s="1"/>
  <c r="Z118" i="10" s="1"/>
  <c r="W118" i="3"/>
  <c r="Y118" i="3" s="1"/>
  <c r="Z118" i="3" s="1"/>
  <c r="AZ20" i="12"/>
  <c r="BA20" i="12" s="1"/>
  <c r="BB20" i="12" s="1"/>
  <c r="L20" i="12"/>
  <c r="M20" i="12" s="1"/>
  <c r="AB20" i="10"/>
  <c r="AC20" i="10" s="1"/>
  <c r="D20" i="10"/>
  <c r="E20" i="10" s="1"/>
  <c r="F20" i="10" s="1"/>
  <c r="V19" i="10"/>
  <c r="AI21" i="12"/>
  <c r="AY21" i="12"/>
  <c r="AQ21" i="12"/>
  <c r="BG21" i="12"/>
  <c r="AA21" i="12"/>
  <c r="S21" i="12"/>
  <c r="K21" i="12"/>
  <c r="C21" i="12"/>
  <c r="N18" i="3"/>
  <c r="AL18" i="3"/>
  <c r="AX18" i="3"/>
  <c r="X119" i="3" s="1"/>
  <c r="BJ19" i="3"/>
  <c r="V18" i="3"/>
  <c r="BJ20" i="3"/>
  <c r="AH18" i="3"/>
  <c r="P119" i="3" s="1"/>
  <c r="F19" i="3"/>
  <c r="A36" i="2"/>
  <c r="A22" i="3"/>
  <c r="AT18" i="3"/>
  <c r="R18" i="3"/>
  <c r="H119" i="3" s="1"/>
  <c r="Z18" i="3"/>
  <c r="L119" i="3" s="1"/>
  <c r="AZ19" i="3"/>
  <c r="BA19" i="3" s="1"/>
  <c r="AD18" i="3"/>
  <c r="AR19" i="3"/>
  <c r="AS19" i="3" s="1"/>
  <c r="AX19" i="3" s="1"/>
  <c r="X120" i="3" s="1"/>
  <c r="AB19" i="3"/>
  <c r="AC19" i="3" s="1"/>
  <c r="L19" i="3"/>
  <c r="M19" i="3" s="1"/>
  <c r="C20" i="3"/>
  <c r="AI20" i="3"/>
  <c r="K20" i="3"/>
  <c r="S20" i="3"/>
  <c r="AQ20" i="3"/>
  <c r="AA20" i="3"/>
  <c r="AY20" i="3"/>
  <c r="AZ20" i="3" s="1"/>
  <c r="BA20" i="3" s="1"/>
  <c r="T19" i="3"/>
  <c r="U19" i="3" s="1"/>
  <c r="AP18" i="3"/>
  <c r="T119" i="3" s="1"/>
  <c r="AJ19" i="3"/>
  <c r="AK19" i="3" s="1"/>
  <c r="AS31" i="2"/>
  <c r="AT31" i="2" s="1"/>
  <c r="U31" i="2"/>
  <c r="V31" i="2" s="1"/>
  <c r="AG31" i="2"/>
  <c r="AH31" i="2" s="1"/>
  <c r="BG30" i="2"/>
  <c r="AY31" i="2"/>
  <c r="AZ31" i="2" s="1"/>
  <c r="AC32" i="2"/>
  <c r="AE32" i="2"/>
  <c r="BG21" i="3"/>
  <c r="BH21" i="3" s="1"/>
  <c r="BI21" i="3" s="1"/>
  <c r="F33" i="2"/>
  <c r="B33" i="2"/>
  <c r="I33" i="2"/>
  <c r="E33" i="2"/>
  <c r="H33" i="2"/>
  <c r="D33" i="2"/>
  <c r="G33" i="2"/>
  <c r="C33" i="2"/>
  <c r="L31" i="2"/>
  <c r="O31" i="2"/>
  <c r="P31" i="2" s="1"/>
  <c r="AA31" i="2"/>
  <c r="AB31" i="2" s="1"/>
  <c r="BE31" i="2"/>
  <c r="BF31" i="2" s="1"/>
  <c r="BA32" i="2"/>
  <c r="BC32" i="2"/>
  <c r="Q32" i="2"/>
  <c r="S32" i="2"/>
  <c r="L24" i="4"/>
  <c r="F24" i="4"/>
  <c r="I24" i="4"/>
  <c r="C24" i="4"/>
  <c r="W32" i="2"/>
  <c r="Y32" i="2"/>
  <c r="K32" i="2"/>
  <c r="M32" i="2"/>
  <c r="N32" i="2" s="1"/>
  <c r="AO32" i="2"/>
  <c r="AQ32" i="2"/>
  <c r="C25" i="4"/>
  <c r="L25" i="4"/>
  <c r="F25" i="4"/>
  <c r="I25" i="4"/>
  <c r="AM31" i="2"/>
  <c r="AN31" i="2" s="1"/>
  <c r="AU32" i="2"/>
  <c r="AW32" i="2"/>
  <c r="AI32" i="2"/>
  <c r="AK32" i="2"/>
  <c r="D20" i="3" l="1"/>
  <c r="E20" i="3" s="1"/>
  <c r="E15" i="22" s="1"/>
  <c r="A29" i="19"/>
  <c r="J28" i="19"/>
  <c r="H28" i="19"/>
  <c r="L28" i="19"/>
  <c r="I28" i="19"/>
  <c r="E28" i="19"/>
  <c r="B28" i="19"/>
  <c r="F28" i="19"/>
  <c r="C28" i="19"/>
  <c r="K28" i="19"/>
  <c r="D28" i="19"/>
  <c r="S119" i="12"/>
  <c r="U119" i="12" s="1"/>
  <c r="V119" i="12" s="1"/>
  <c r="S119" i="10"/>
  <c r="U119" i="10" s="1"/>
  <c r="V119" i="10" s="1"/>
  <c r="S119" i="3"/>
  <c r="BC20" i="3"/>
  <c r="BD20" i="3" s="1"/>
  <c r="BE20" i="3" s="1"/>
  <c r="BF20" i="3" s="1"/>
  <c r="AB121" i="3" s="1"/>
  <c r="BC20" i="12"/>
  <c r="BD20" i="12" s="1"/>
  <c r="BE20" i="12" s="1"/>
  <c r="BF20" i="12" s="1"/>
  <c r="AB121" i="12" s="1"/>
  <c r="BC20" i="10"/>
  <c r="BD20" i="10" s="1"/>
  <c r="BE20" i="10" s="1"/>
  <c r="BF20" i="10" s="1"/>
  <c r="AB121" i="10" s="1"/>
  <c r="AM20" i="3"/>
  <c r="AN20" i="3" s="1"/>
  <c r="AO20" i="3" s="1"/>
  <c r="AM20" i="12"/>
  <c r="AN20" i="12" s="1"/>
  <c r="AO20" i="12" s="1"/>
  <c r="AP20" i="12" s="1"/>
  <c r="T121" i="12" s="1"/>
  <c r="AM20" i="10"/>
  <c r="AN20" i="10" s="1"/>
  <c r="AO20" i="10" s="1"/>
  <c r="AP20" i="10" s="1"/>
  <c r="T121" i="10" s="1"/>
  <c r="AA119" i="12"/>
  <c r="AC119" i="12" s="1"/>
  <c r="AD119" i="12" s="1"/>
  <c r="AA119" i="10"/>
  <c r="AC119" i="10" s="1"/>
  <c r="AD119" i="10" s="1"/>
  <c r="AA119" i="3"/>
  <c r="AC119" i="3" s="1"/>
  <c r="AD119" i="3" s="1"/>
  <c r="W119" i="12"/>
  <c r="Y119" i="12" s="1"/>
  <c r="Z119" i="12" s="1"/>
  <c r="W119" i="10"/>
  <c r="Y119" i="10" s="1"/>
  <c r="Z119" i="10" s="1"/>
  <c r="W119" i="3"/>
  <c r="D21" i="12"/>
  <c r="E21" i="12" s="1"/>
  <c r="F21" i="12" s="1"/>
  <c r="BH21" i="12"/>
  <c r="BI21" i="12" s="1"/>
  <c r="AD20" i="10"/>
  <c r="N20" i="12"/>
  <c r="T21" i="10"/>
  <c r="U21" i="10" s="1"/>
  <c r="V21" i="10" s="1"/>
  <c r="BH21" i="10"/>
  <c r="BI21" i="10" s="1"/>
  <c r="V20" i="12"/>
  <c r="N20" i="10"/>
  <c r="BJ20" i="12"/>
  <c r="AE119" i="12"/>
  <c r="AG119" i="12" s="1"/>
  <c r="AH119" i="12" s="1"/>
  <c r="AE119" i="10"/>
  <c r="AG119" i="10" s="1"/>
  <c r="AH119" i="10" s="1"/>
  <c r="AE119" i="3"/>
  <c r="AG119" i="3" s="1"/>
  <c r="AH119" i="3" s="1"/>
  <c r="O20" i="3"/>
  <c r="P20" i="3" s="1"/>
  <c r="Q20" i="3" s="1"/>
  <c r="O20" i="12"/>
  <c r="P20" i="12" s="1"/>
  <c r="Q20" i="12" s="1"/>
  <c r="R20" i="12" s="1"/>
  <c r="H121" i="12" s="1"/>
  <c r="O20" i="10"/>
  <c r="P20" i="10" s="1"/>
  <c r="Q20" i="10" s="1"/>
  <c r="R20" i="10" s="1"/>
  <c r="H121" i="10" s="1"/>
  <c r="AE20" i="3"/>
  <c r="AF20" i="3" s="1"/>
  <c r="AG20" i="3" s="1"/>
  <c r="AE20" i="12"/>
  <c r="AF20" i="12" s="1"/>
  <c r="AG20" i="12" s="1"/>
  <c r="AH20" i="12" s="1"/>
  <c r="P121" i="12" s="1"/>
  <c r="AE20" i="10"/>
  <c r="AF20" i="10" s="1"/>
  <c r="AG20" i="10" s="1"/>
  <c r="AH20" i="10" s="1"/>
  <c r="P121" i="10" s="1"/>
  <c r="Y119" i="3"/>
  <c r="Z119" i="3" s="1"/>
  <c r="L21" i="12"/>
  <c r="M21" i="12" s="1"/>
  <c r="N21" i="12" s="1"/>
  <c r="AR21" i="12"/>
  <c r="AS21" i="12" s="1"/>
  <c r="AT21" i="12" s="1"/>
  <c r="AZ21" i="10"/>
  <c r="BA21" i="10" s="1"/>
  <c r="AJ21" i="10"/>
  <c r="AK21" i="10" s="1"/>
  <c r="AL21" i="10" s="1"/>
  <c r="K119" i="12"/>
  <c r="M119" i="12" s="1"/>
  <c r="N119" i="12" s="1"/>
  <c r="K119" i="10"/>
  <c r="M119" i="10" s="1"/>
  <c r="N119" i="10" s="1"/>
  <c r="K119" i="3"/>
  <c r="M119" i="3" s="1"/>
  <c r="N119" i="3" s="1"/>
  <c r="AU20" i="3"/>
  <c r="AV20" i="3" s="1"/>
  <c r="AW20" i="3" s="1"/>
  <c r="AU20" i="12"/>
  <c r="AV20" i="12" s="1"/>
  <c r="AW20" i="12" s="1"/>
  <c r="AX20" i="12" s="1"/>
  <c r="X121" i="12" s="1"/>
  <c r="AU20" i="10"/>
  <c r="AV20" i="10" s="1"/>
  <c r="AW20" i="10" s="1"/>
  <c r="AX20" i="10" s="1"/>
  <c r="X121" i="10" s="1"/>
  <c r="BK20" i="3"/>
  <c r="BL20" i="3" s="1"/>
  <c r="BM20" i="3" s="1"/>
  <c r="BN20" i="3" s="1"/>
  <c r="AF121" i="3" s="1"/>
  <c r="BK20" i="12"/>
  <c r="BL20" i="12" s="1"/>
  <c r="BM20" i="12" s="1"/>
  <c r="BN20" i="12" s="1"/>
  <c r="AF121" i="12" s="1"/>
  <c r="BK20" i="10"/>
  <c r="BL20" i="10" s="1"/>
  <c r="BM20" i="10" s="1"/>
  <c r="BN20" i="10" s="1"/>
  <c r="AF121" i="10" s="1"/>
  <c r="O119" i="12"/>
  <c r="Q119" i="12" s="1"/>
  <c r="R119" i="12" s="1"/>
  <c r="O119" i="10"/>
  <c r="Q119" i="10" s="1"/>
  <c r="R119" i="10" s="1"/>
  <c r="O119" i="3"/>
  <c r="Q119" i="3" s="1"/>
  <c r="R119" i="3" s="1"/>
  <c r="U119" i="3"/>
  <c r="V119" i="3" s="1"/>
  <c r="A23" i="12"/>
  <c r="A23" i="10"/>
  <c r="T21" i="12"/>
  <c r="U21" i="12" s="1"/>
  <c r="V21" i="12" s="1"/>
  <c r="AZ21" i="12"/>
  <c r="BA21" i="12" s="1"/>
  <c r="BB21" i="12" s="1"/>
  <c r="D21" i="10"/>
  <c r="E21" i="10" s="1"/>
  <c r="F21" i="10" s="1"/>
  <c r="AB21" i="10"/>
  <c r="AC21" i="10" s="1"/>
  <c r="AD21" i="10" s="1"/>
  <c r="AY22" i="10"/>
  <c r="S22" i="10"/>
  <c r="BG22" i="10"/>
  <c r="K22" i="10"/>
  <c r="C22" i="10"/>
  <c r="AQ22" i="10"/>
  <c r="AI22" i="10"/>
  <c r="AA22" i="10"/>
  <c r="C119" i="12"/>
  <c r="E119" i="12" s="1"/>
  <c r="F119" i="12" s="1"/>
  <c r="C119" i="10"/>
  <c r="E119" i="10" s="1"/>
  <c r="F119" i="10" s="1"/>
  <c r="C119" i="3"/>
  <c r="E119" i="3" s="1"/>
  <c r="F119" i="3" s="1"/>
  <c r="W20" i="3"/>
  <c r="X20" i="3" s="1"/>
  <c r="Y20" i="3" s="1"/>
  <c r="W20" i="12"/>
  <c r="X20" i="12" s="1"/>
  <c r="Y20" i="12" s="1"/>
  <c r="Z20" i="12" s="1"/>
  <c r="L121" i="12" s="1"/>
  <c r="W20" i="10"/>
  <c r="X20" i="10" s="1"/>
  <c r="Y20" i="10" s="1"/>
  <c r="Z20" i="10" s="1"/>
  <c r="L121" i="10" s="1"/>
  <c r="G20" i="3"/>
  <c r="H20" i="3" s="1"/>
  <c r="I20" i="3" s="1"/>
  <c r="J20" i="3" s="1"/>
  <c r="D121" i="3" s="1"/>
  <c r="G20" i="12"/>
  <c r="H20" i="12" s="1"/>
  <c r="I20" i="12" s="1"/>
  <c r="J20" i="12" s="1"/>
  <c r="D121" i="12" s="1"/>
  <c r="G20" i="10"/>
  <c r="H20" i="10" s="1"/>
  <c r="I20" i="10" s="1"/>
  <c r="J20" i="10" s="1"/>
  <c r="D121" i="10" s="1"/>
  <c r="G119" i="12"/>
  <c r="I119" i="12" s="1"/>
  <c r="J119" i="12" s="1"/>
  <c r="G119" i="10"/>
  <c r="I119" i="10" s="1"/>
  <c r="J119" i="10" s="1"/>
  <c r="G119" i="3"/>
  <c r="I119" i="3" s="1"/>
  <c r="J119" i="3" s="1"/>
  <c r="AB21" i="12"/>
  <c r="AC21" i="12" s="1"/>
  <c r="AD21" i="12" s="1"/>
  <c r="AJ21" i="12"/>
  <c r="AK21" i="12" s="1"/>
  <c r="AL21" i="12" s="1"/>
  <c r="L21" i="10"/>
  <c r="M21" i="10" s="1"/>
  <c r="N21" i="10" s="1"/>
  <c r="AR21" i="10"/>
  <c r="AS21" i="10" s="1"/>
  <c r="AT21" i="10" s="1"/>
  <c r="K22" i="12"/>
  <c r="C22" i="12"/>
  <c r="AI22" i="12"/>
  <c r="AY22" i="12"/>
  <c r="AQ22" i="12"/>
  <c r="S22" i="12"/>
  <c r="AA22" i="12"/>
  <c r="BG22" i="12"/>
  <c r="V19" i="3"/>
  <c r="BB20" i="3"/>
  <c r="AD19" i="3"/>
  <c r="BJ21" i="3"/>
  <c r="BB19" i="3"/>
  <c r="N19" i="3"/>
  <c r="AL19" i="3"/>
  <c r="AT19" i="3"/>
  <c r="A37" i="2"/>
  <c r="A23" i="3"/>
  <c r="AP19" i="3"/>
  <c r="T120" i="3" s="1"/>
  <c r="Z19" i="3"/>
  <c r="L120" i="3" s="1"/>
  <c r="R19" i="3"/>
  <c r="H120" i="3" s="1"/>
  <c r="BF19" i="3"/>
  <c r="AB120" i="3" s="1"/>
  <c r="F20" i="3"/>
  <c r="C21" i="3"/>
  <c r="AI21" i="3"/>
  <c r="S21" i="3"/>
  <c r="AA21" i="3"/>
  <c r="AY21" i="3"/>
  <c r="AZ21" i="3" s="1"/>
  <c r="BA21" i="3" s="1"/>
  <c r="AQ21" i="3"/>
  <c r="K21" i="3"/>
  <c r="AB20" i="3"/>
  <c r="AC20" i="3" s="1"/>
  <c r="AJ20" i="3"/>
  <c r="AK20" i="3" s="1"/>
  <c r="AH19" i="3"/>
  <c r="P120" i="3" s="1"/>
  <c r="T20" i="3"/>
  <c r="U20" i="3" s="1"/>
  <c r="L20" i="3"/>
  <c r="M20" i="3" s="1"/>
  <c r="AR20" i="3"/>
  <c r="AS20" i="3" s="1"/>
  <c r="AY32" i="2"/>
  <c r="AZ32" i="2" s="1"/>
  <c r="AM32" i="2"/>
  <c r="AN32" i="2" s="1"/>
  <c r="AG32" i="2"/>
  <c r="AH32" i="2" s="1"/>
  <c r="BG31" i="2"/>
  <c r="W33" i="2"/>
  <c r="Y33" i="2"/>
  <c r="K33" i="2"/>
  <c r="M33" i="2"/>
  <c r="N33" i="2" s="1"/>
  <c r="AS32" i="2"/>
  <c r="AT32" i="2" s="1"/>
  <c r="AA32" i="2"/>
  <c r="AB32" i="2" s="1"/>
  <c r="BE32" i="2"/>
  <c r="BF32" i="2" s="1"/>
  <c r="AU33" i="2"/>
  <c r="AW33" i="2"/>
  <c r="AI33" i="2"/>
  <c r="AK33" i="2"/>
  <c r="Q33" i="2"/>
  <c r="S33" i="2"/>
  <c r="AC33" i="2"/>
  <c r="AE33" i="2"/>
  <c r="I34" i="2"/>
  <c r="E34" i="2"/>
  <c r="H34" i="2"/>
  <c r="D34" i="2"/>
  <c r="G34" i="2"/>
  <c r="C34" i="2"/>
  <c r="BG22" i="3"/>
  <c r="BH22" i="3" s="1"/>
  <c r="BI22" i="3" s="1"/>
  <c r="F34" i="2"/>
  <c r="B34" i="2"/>
  <c r="O32" i="2"/>
  <c r="P32" i="2" s="1"/>
  <c r="L32" i="2"/>
  <c r="U32" i="2"/>
  <c r="V32" i="2" s="1"/>
  <c r="AO33" i="2"/>
  <c r="AQ33" i="2"/>
  <c r="BA33" i="2"/>
  <c r="BC33" i="2"/>
  <c r="D21" i="3" l="1"/>
  <c r="E21" i="3" s="1"/>
  <c r="E16" i="22" s="1"/>
  <c r="A30" i="19"/>
  <c r="I29" i="19"/>
  <c r="K29" i="19"/>
  <c r="H29" i="19"/>
  <c r="L29" i="19"/>
  <c r="J29" i="19"/>
  <c r="D29" i="19"/>
  <c r="E29" i="19"/>
  <c r="B29" i="19"/>
  <c r="F29" i="19"/>
  <c r="C29" i="19"/>
  <c r="G120" i="12"/>
  <c r="I120" i="12" s="1"/>
  <c r="J120" i="12" s="1"/>
  <c r="G120" i="10"/>
  <c r="I120" i="10" s="1"/>
  <c r="J120" i="10" s="1"/>
  <c r="G120" i="3"/>
  <c r="I120" i="3" s="1"/>
  <c r="J120" i="3" s="1"/>
  <c r="AM21" i="3"/>
  <c r="AN21" i="3" s="1"/>
  <c r="AO21" i="3" s="1"/>
  <c r="AM21" i="12"/>
  <c r="AN21" i="12" s="1"/>
  <c r="AO21" i="12" s="1"/>
  <c r="AP21" i="12" s="1"/>
  <c r="T122" i="12" s="1"/>
  <c r="AM21" i="10"/>
  <c r="AN21" i="10" s="1"/>
  <c r="AO21" i="10" s="1"/>
  <c r="W21" i="3"/>
  <c r="X21" i="3" s="1"/>
  <c r="Y21" i="3" s="1"/>
  <c r="W21" i="12"/>
  <c r="X21" i="12" s="1"/>
  <c r="Y21" i="12" s="1"/>
  <c r="Z21" i="12" s="1"/>
  <c r="L122" i="12" s="1"/>
  <c r="W21" i="10"/>
  <c r="X21" i="10" s="1"/>
  <c r="Y21" i="10" s="1"/>
  <c r="Z21" i="10" s="1"/>
  <c r="L122" i="10" s="1"/>
  <c r="AE120" i="12"/>
  <c r="AG120" i="12" s="1"/>
  <c r="AH120" i="12" s="1"/>
  <c r="AE120" i="10"/>
  <c r="AG120" i="10" s="1"/>
  <c r="AH120" i="10" s="1"/>
  <c r="AE120" i="3"/>
  <c r="AG120" i="3" s="1"/>
  <c r="AH120" i="3" s="1"/>
  <c r="O120" i="12"/>
  <c r="Q120" i="12" s="1"/>
  <c r="R120" i="12" s="1"/>
  <c r="O120" i="10"/>
  <c r="Q120" i="10" s="1"/>
  <c r="R120" i="10" s="1"/>
  <c r="O120" i="3"/>
  <c r="Q120" i="3" s="1"/>
  <c r="R120" i="3" s="1"/>
  <c r="AB22" i="12"/>
  <c r="AC22" i="12" s="1"/>
  <c r="AD22" i="12" s="1"/>
  <c r="AJ22" i="12"/>
  <c r="AK22" i="12" s="1"/>
  <c r="AL22" i="12" s="1"/>
  <c r="AJ22" i="10"/>
  <c r="AK22" i="10" s="1"/>
  <c r="AL22" i="10" s="1"/>
  <c r="BH22" i="10"/>
  <c r="BI22" i="10" s="1"/>
  <c r="BJ22" i="10" s="1"/>
  <c r="K23" i="12"/>
  <c r="AA23" i="12"/>
  <c r="C23" i="12"/>
  <c r="AI23" i="12"/>
  <c r="AQ23" i="12"/>
  <c r="AY23" i="12"/>
  <c r="S23" i="12"/>
  <c r="BG23" i="12"/>
  <c r="AP21" i="10"/>
  <c r="T122" i="10" s="1"/>
  <c r="BC21" i="3"/>
  <c r="BD21" i="3" s="1"/>
  <c r="BE21" i="3" s="1"/>
  <c r="BF21" i="3" s="1"/>
  <c r="AB122" i="3" s="1"/>
  <c r="BC21" i="12"/>
  <c r="BD21" i="12" s="1"/>
  <c r="BE21" i="12" s="1"/>
  <c r="BF21" i="12" s="1"/>
  <c r="AB122" i="12" s="1"/>
  <c r="BC21" i="10"/>
  <c r="BD21" i="10" s="1"/>
  <c r="BE21" i="10" s="1"/>
  <c r="BF21" i="10" s="1"/>
  <c r="AB122" i="10" s="1"/>
  <c r="K120" i="12"/>
  <c r="M120" i="12" s="1"/>
  <c r="N120" i="12" s="1"/>
  <c r="K120" i="10"/>
  <c r="M120" i="10" s="1"/>
  <c r="N120" i="10" s="1"/>
  <c r="K120" i="3"/>
  <c r="M120" i="3" s="1"/>
  <c r="N120" i="3" s="1"/>
  <c r="S120" i="12"/>
  <c r="U120" i="12" s="1"/>
  <c r="V120" i="12" s="1"/>
  <c r="S120" i="10"/>
  <c r="U120" i="10" s="1"/>
  <c r="V120" i="10" s="1"/>
  <c r="S120" i="3"/>
  <c r="U120" i="3" s="1"/>
  <c r="V120" i="3" s="1"/>
  <c r="A24" i="12"/>
  <c r="A24" i="10"/>
  <c r="T22" i="12"/>
  <c r="U22" i="12" s="1"/>
  <c r="V22" i="12" s="1"/>
  <c r="D22" i="12"/>
  <c r="E22" i="12" s="1"/>
  <c r="F22" i="12" s="1"/>
  <c r="AR22" i="10"/>
  <c r="AS22" i="10" s="1"/>
  <c r="AT22" i="10" s="1"/>
  <c r="T22" i="10"/>
  <c r="U22" i="10" s="1"/>
  <c r="C120" i="12"/>
  <c r="E120" i="12" s="1"/>
  <c r="F120" i="12" s="1"/>
  <c r="C120" i="10"/>
  <c r="E120" i="10" s="1"/>
  <c r="F120" i="10" s="1"/>
  <c r="C120" i="3"/>
  <c r="E120" i="3" s="1"/>
  <c r="F120" i="3" s="1"/>
  <c r="O21" i="3"/>
  <c r="P21" i="3" s="1"/>
  <c r="Q21" i="3" s="1"/>
  <c r="O21" i="12"/>
  <c r="P21" i="12" s="1"/>
  <c r="Q21" i="12" s="1"/>
  <c r="R21" i="12" s="1"/>
  <c r="H122" i="12" s="1"/>
  <c r="O21" i="10"/>
  <c r="P21" i="10" s="1"/>
  <c r="Q21" i="10" s="1"/>
  <c r="R21" i="10" s="1"/>
  <c r="H122" i="10" s="1"/>
  <c r="AE21" i="3"/>
  <c r="AF21" i="3" s="1"/>
  <c r="AG21" i="3" s="1"/>
  <c r="AE21" i="12"/>
  <c r="AF21" i="12" s="1"/>
  <c r="AG21" i="12" s="1"/>
  <c r="AH21" i="12" s="1"/>
  <c r="P122" i="12" s="1"/>
  <c r="AE21" i="10"/>
  <c r="AF21" i="10" s="1"/>
  <c r="AG21" i="10" s="1"/>
  <c r="AH21" i="10" s="1"/>
  <c r="P122" i="10" s="1"/>
  <c r="W120" i="12"/>
  <c r="Y120" i="12" s="1"/>
  <c r="Z120" i="12" s="1"/>
  <c r="W120" i="10"/>
  <c r="Y120" i="10" s="1"/>
  <c r="Z120" i="10" s="1"/>
  <c r="W120" i="3"/>
  <c r="Y120" i="3" s="1"/>
  <c r="Z120" i="3" s="1"/>
  <c r="AA120" i="12"/>
  <c r="AC120" i="12" s="1"/>
  <c r="AD120" i="12" s="1"/>
  <c r="AA120" i="10"/>
  <c r="AC120" i="10" s="1"/>
  <c r="AD120" i="10" s="1"/>
  <c r="AA120" i="3"/>
  <c r="AC120" i="3" s="1"/>
  <c r="AD120" i="3" s="1"/>
  <c r="AR22" i="12"/>
  <c r="AS22" i="12" s="1"/>
  <c r="AT22" i="12" s="1"/>
  <c r="L22" i="12"/>
  <c r="M22" i="12" s="1"/>
  <c r="N22" i="12" s="1"/>
  <c r="D22" i="10"/>
  <c r="E22" i="10" s="1"/>
  <c r="F22" i="10" s="1"/>
  <c r="AZ22" i="10"/>
  <c r="BA22" i="10" s="1"/>
  <c r="BB22" i="10" s="1"/>
  <c r="BB21" i="10"/>
  <c r="BJ21" i="10"/>
  <c r="BJ21" i="12"/>
  <c r="G21" i="3"/>
  <c r="H21" i="3" s="1"/>
  <c r="I21" i="3" s="1"/>
  <c r="J21" i="3" s="1"/>
  <c r="D122" i="3" s="1"/>
  <c r="G21" i="12"/>
  <c r="H21" i="12" s="1"/>
  <c r="I21" i="12" s="1"/>
  <c r="J21" i="12" s="1"/>
  <c r="D122" i="12" s="1"/>
  <c r="G21" i="10"/>
  <c r="H21" i="10" s="1"/>
  <c r="I21" i="10" s="1"/>
  <c r="J21" i="10" s="1"/>
  <c r="D122" i="10" s="1"/>
  <c r="AU21" i="3"/>
  <c r="AV21" i="3" s="1"/>
  <c r="AW21" i="3" s="1"/>
  <c r="AU21" i="12"/>
  <c r="AV21" i="12" s="1"/>
  <c r="AW21" i="12" s="1"/>
  <c r="AX21" i="12" s="1"/>
  <c r="X122" i="12" s="1"/>
  <c r="AU21" i="10"/>
  <c r="AV21" i="10" s="1"/>
  <c r="AW21" i="10" s="1"/>
  <c r="AX21" i="10" s="1"/>
  <c r="X122" i="10" s="1"/>
  <c r="BK21" i="3"/>
  <c r="BL21" i="3" s="1"/>
  <c r="BM21" i="3" s="1"/>
  <c r="BN21" i="3" s="1"/>
  <c r="AF122" i="3" s="1"/>
  <c r="BK21" i="12"/>
  <c r="BL21" i="12" s="1"/>
  <c r="BM21" i="12" s="1"/>
  <c r="BN21" i="12" s="1"/>
  <c r="AF122" i="12" s="1"/>
  <c r="BK21" i="10"/>
  <c r="BL21" i="10" s="1"/>
  <c r="BM21" i="10" s="1"/>
  <c r="BN21" i="10" s="1"/>
  <c r="AF122" i="10" s="1"/>
  <c r="BH22" i="12"/>
  <c r="BI22" i="12" s="1"/>
  <c r="AZ22" i="12"/>
  <c r="BA22" i="12" s="1"/>
  <c r="BB22" i="12" s="1"/>
  <c r="AB22" i="10"/>
  <c r="AC22" i="10" s="1"/>
  <c r="AD22" i="10" s="1"/>
  <c r="L22" i="10"/>
  <c r="M22" i="10" s="1"/>
  <c r="N22" i="10" s="1"/>
  <c r="AQ23" i="10"/>
  <c r="AY23" i="10"/>
  <c r="S23" i="10"/>
  <c r="BG23" i="10"/>
  <c r="C23" i="10"/>
  <c r="AI23" i="10"/>
  <c r="K23" i="10"/>
  <c r="AA23" i="10"/>
  <c r="AT20" i="3"/>
  <c r="AL20" i="3"/>
  <c r="BB21" i="3"/>
  <c r="N20" i="3"/>
  <c r="AD20" i="3"/>
  <c r="BJ22" i="3"/>
  <c r="Z20" i="3"/>
  <c r="L121" i="3" s="1"/>
  <c r="A38" i="2"/>
  <c r="A24" i="3"/>
  <c r="V20" i="3"/>
  <c r="F21" i="3"/>
  <c r="AP20" i="3"/>
  <c r="T121" i="3" s="1"/>
  <c r="L21" i="3"/>
  <c r="M21" i="3" s="1"/>
  <c r="T21" i="3"/>
  <c r="U21" i="3" s="1"/>
  <c r="AX20" i="3"/>
  <c r="X121" i="3" s="1"/>
  <c r="R20" i="3"/>
  <c r="H121" i="3" s="1"/>
  <c r="AH20" i="3"/>
  <c r="P121" i="3" s="1"/>
  <c r="AR21" i="3"/>
  <c r="AS21" i="3" s="1"/>
  <c r="AJ21" i="3"/>
  <c r="AK21" i="3" s="1"/>
  <c r="AB21" i="3"/>
  <c r="AC21" i="3" s="1"/>
  <c r="C22" i="3"/>
  <c r="S22" i="3"/>
  <c r="K22" i="3"/>
  <c r="AQ22" i="3"/>
  <c r="AY22" i="3"/>
  <c r="AZ22" i="3" s="1"/>
  <c r="BA22" i="3" s="1"/>
  <c r="AI22" i="3"/>
  <c r="AA22" i="3"/>
  <c r="AA33" i="2"/>
  <c r="AB33" i="2" s="1"/>
  <c r="BG32" i="2"/>
  <c r="Q34" i="2"/>
  <c r="S34" i="2"/>
  <c r="AC34" i="2"/>
  <c r="AE34" i="2"/>
  <c r="AS33" i="2"/>
  <c r="AT33" i="2" s="1"/>
  <c r="K34" i="2"/>
  <c r="M34" i="2"/>
  <c r="N34" i="2" s="1"/>
  <c r="AO34" i="2"/>
  <c r="AQ34" i="2"/>
  <c r="BA34" i="2"/>
  <c r="BC34" i="2"/>
  <c r="U33" i="2"/>
  <c r="V33" i="2" s="1"/>
  <c r="AY33" i="2"/>
  <c r="AZ33" i="2" s="1"/>
  <c r="AI34" i="2"/>
  <c r="AK34" i="2"/>
  <c r="W34" i="2"/>
  <c r="Y34" i="2"/>
  <c r="L33" i="2"/>
  <c r="O33" i="2"/>
  <c r="P33" i="2" s="1"/>
  <c r="BE33" i="2"/>
  <c r="BF33" i="2" s="1"/>
  <c r="H35" i="2"/>
  <c r="D35" i="2"/>
  <c r="G35" i="2"/>
  <c r="C35" i="2"/>
  <c r="BG23" i="3"/>
  <c r="F35" i="2"/>
  <c r="B35" i="2"/>
  <c r="I35" i="2"/>
  <c r="E35" i="2"/>
  <c r="AU34" i="2"/>
  <c r="AW34" i="2"/>
  <c r="AG33" i="2"/>
  <c r="AH33" i="2" s="1"/>
  <c r="AM33" i="2"/>
  <c r="AN33" i="2" s="1"/>
  <c r="D22" i="3" l="1"/>
  <c r="E22" i="3" s="1"/>
  <c r="E17" i="22" s="1"/>
  <c r="A31" i="19"/>
  <c r="H30" i="19"/>
  <c r="L30" i="19"/>
  <c r="J30" i="19"/>
  <c r="K30" i="19"/>
  <c r="C30" i="19"/>
  <c r="I30" i="19"/>
  <c r="D30" i="19"/>
  <c r="E30" i="19"/>
  <c r="B30" i="19"/>
  <c r="F30" i="19"/>
  <c r="D23" i="10"/>
  <c r="E23" i="10" s="1"/>
  <c r="F23" i="10" s="1"/>
  <c r="AB23" i="12"/>
  <c r="AC23" i="12" s="1"/>
  <c r="AD23" i="12" s="1"/>
  <c r="S121" i="12"/>
  <c r="U121" i="12" s="1"/>
  <c r="V121" i="12" s="1"/>
  <c r="S121" i="10"/>
  <c r="U121" i="10" s="1"/>
  <c r="V121" i="10" s="1"/>
  <c r="S121" i="3"/>
  <c r="U121" i="3" s="1"/>
  <c r="V121" i="3" s="1"/>
  <c r="AE22" i="3"/>
  <c r="AF22" i="3" s="1"/>
  <c r="AG22" i="3" s="1"/>
  <c r="AE22" i="12"/>
  <c r="AF22" i="12" s="1"/>
  <c r="AG22" i="12" s="1"/>
  <c r="AH22" i="12" s="1"/>
  <c r="P123" i="12" s="1"/>
  <c r="AE22" i="10"/>
  <c r="AF22" i="10" s="1"/>
  <c r="AG22" i="10" s="1"/>
  <c r="AH22" i="10" s="1"/>
  <c r="P123" i="10" s="1"/>
  <c r="BC22" i="3"/>
  <c r="BD22" i="3" s="1"/>
  <c r="BC22" i="12"/>
  <c r="BD22" i="12" s="1"/>
  <c r="BE22" i="12" s="1"/>
  <c r="BF22" i="12" s="1"/>
  <c r="AB123" i="12" s="1"/>
  <c r="BC22" i="10"/>
  <c r="BD22" i="10" s="1"/>
  <c r="BE22" i="10" s="1"/>
  <c r="BF22" i="10" s="1"/>
  <c r="AB123" i="10" s="1"/>
  <c r="AA121" i="12"/>
  <c r="AC121" i="12" s="1"/>
  <c r="AD121" i="12" s="1"/>
  <c r="AA121" i="10"/>
  <c r="AC121" i="10" s="1"/>
  <c r="AD121" i="10" s="1"/>
  <c r="AA121" i="3"/>
  <c r="AC121" i="3" s="1"/>
  <c r="AD121" i="3" s="1"/>
  <c r="W121" i="12"/>
  <c r="Y121" i="12" s="1"/>
  <c r="Z121" i="12" s="1"/>
  <c r="W121" i="10"/>
  <c r="Y121" i="10" s="1"/>
  <c r="Z121" i="10" s="1"/>
  <c r="W121" i="3"/>
  <c r="Y121" i="3" s="1"/>
  <c r="Z121" i="3" s="1"/>
  <c r="A25" i="12"/>
  <c r="A25" i="10"/>
  <c r="AB23" i="10"/>
  <c r="AC23" i="10" s="1"/>
  <c r="BH23" i="10"/>
  <c r="BI23" i="10" s="1"/>
  <c r="BJ23" i="10" s="1"/>
  <c r="AR23" i="12"/>
  <c r="AS23" i="12" s="1"/>
  <c r="AT23" i="12"/>
  <c r="L23" i="12"/>
  <c r="M23" i="12" s="1"/>
  <c r="N23" i="12" s="1"/>
  <c r="AM22" i="3"/>
  <c r="AN22" i="3" s="1"/>
  <c r="AO22" i="3" s="1"/>
  <c r="AM22" i="12"/>
  <c r="AN22" i="12" s="1"/>
  <c r="AO22" i="12" s="1"/>
  <c r="AM22" i="10"/>
  <c r="AN22" i="10" s="1"/>
  <c r="AO22" i="10" s="1"/>
  <c r="AP22" i="10" s="1"/>
  <c r="T123" i="10" s="1"/>
  <c r="AR23" i="10"/>
  <c r="AS23" i="10" s="1"/>
  <c r="O121" i="12"/>
  <c r="Q121" i="12" s="1"/>
  <c r="R121" i="12" s="1"/>
  <c r="O121" i="10"/>
  <c r="Q121" i="10" s="1"/>
  <c r="R121" i="10" s="1"/>
  <c r="O121" i="3"/>
  <c r="Q121" i="3" s="1"/>
  <c r="R121" i="3" s="1"/>
  <c r="AE121" i="12"/>
  <c r="AG121" i="12" s="1"/>
  <c r="AH121" i="12" s="1"/>
  <c r="AE121" i="10"/>
  <c r="AG121" i="10" s="1"/>
  <c r="AH121" i="10" s="1"/>
  <c r="AE121" i="3"/>
  <c r="AG121" i="3" s="1"/>
  <c r="AH121" i="3" s="1"/>
  <c r="G121" i="12"/>
  <c r="I121" i="12" s="1"/>
  <c r="J121" i="12" s="1"/>
  <c r="G121" i="10"/>
  <c r="I121" i="10" s="1"/>
  <c r="J121" i="10" s="1"/>
  <c r="G121" i="3"/>
  <c r="I121" i="3" s="1"/>
  <c r="J121" i="3" s="1"/>
  <c r="L23" i="10"/>
  <c r="M23" i="10" s="1"/>
  <c r="T23" i="10"/>
  <c r="U23" i="10" s="1"/>
  <c r="V23" i="10" s="1"/>
  <c r="BJ22" i="12"/>
  <c r="V22" i="10"/>
  <c r="AA24" i="10"/>
  <c r="C24" i="10"/>
  <c r="AY24" i="10"/>
  <c r="BG24" i="10"/>
  <c r="K24" i="10"/>
  <c r="AQ24" i="10"/>
  <c r="AI24" i="10"/>
  <c r="S24" i="10"/>
  <c r="BH23" i="12"/>
  <c r="BI23" i="12" s="1"/>
  <c r="BJ23" i="12" s="1"/>
  <c r="AJ23" i="12"/>
  <c r="AK23" i="12" s="1"/>
  <c r="AL23" i="12" s="1"/>
  <c r="AP22" i="12"/>
  <c r="T123" i="12" s="1"/>
  <c r="W22" i="3"/>
  <c r="X22" i="3" s="1"/>
  <c r="Y22" i="3" s="1"/>
  <c r="W22" i="12"/>
  <c r="X22" i="12" s="1"/>
  <c r="Y22" i="12" s="1"/>
  <c r="Z22" i="12" s="1"/>
  <c r="L123" i="12" s="1"/>
  <c r="W22" i="10"/>
  <c r="X22" i="10" s="1"/>
  <c r="Y22" i="10" s="1"/>
  <c r="Z22" i="10" s="1"/>
  <c r="L123" i="10" s="1"/>
  <c r="AZ23" i="12"/>
  <c r="BA23" i="12" s="1"/>
  <c r="BB23" i="12" s="1"/>
  <c r="BK22" i="3"/>
  <c r="BL22" i="3" s="1"/>
  <c r="BK22" i="12"/>
  <c r="BL22" i="12" s="1"/>
  <c r="BM22" i="12" s="1"/>
  <c r="BN22" i="12" s="1"/>
  <c r="AF123" i="12" s="1"/>
  <c r="BK22" i="10"/>
  <c r="BL22" i="10" s="1"/>
  <c r="BM22" i="10" s="1"/>
  <c r="BN22" i="10" s="1"/>
  <c r="AF123" i="10" s="1"/>
  <c r="O22" i="3"/>
  <c r="P22" i="3" s="1"/>
  <c r="Q22" i="3" s="1"/>
  <c r="O22" i="12"/>
  <c r="P22" i="12" s="1"/>
  <c r="Q22" i="12" s="1"/>
  <c r="R22" i="12" s="1"/>
  <c r="H123" i="12" s="1"/>
  <c r="O22" i="10"/>
  <c r="P22" i="10" s="1"/>
  <c r="Q22" i="10" s="1"/>
  <c r="R22" i="10" s="1"/>
  <c r="H123" i="10" s="1"/>
  <c r="G22" i="3"/>
  <c r="H22" i="3" s="1"/>
  <c r="I22" i="3" s="1"/>
  <c r="J22" i="3" s="1"/>
  <c r="D123" i="3" s="1"/>
  <c r="G22" i="12"/>
  <c r="H22" i="12" s="1"/>
  <c r="I22" i="12" s="1"/>
  <c r="J22" i="12" s="1"/>
  <c r="D123" i="12" s="1"/>
  <c r="G22" i="10"/>
  <c r="H22" i="10" s="1"/>
  <c r="I22" i="10" s="1"/>
  <c r="J22" i="10" s="1"/>
  <c r="D123" i="10" s="1"/>
  <c r="AU22" i="3"/>
  <c r="AV22" i="3" s="1"/>
  <c r="AW22" i="3" s="1"/>
  <c r="AU22" i="12"/>
  <c r="AV22" i="12" s="1"/>
  <c r="AW22" i="12" s="1"/>
  <c r="AX22" i="12" s="1"/>
  <c r="X123" i="12" s="1"/>
  <c r="AU22" i="10"/>
  <c r="AV22" i="10" s="1"/>
  <c r="AW22" i="10" s="1"/>
  <c r="AX22" i="10" s="1"/>
  <c r="X123" i="10" s="1"/>
  <c r="C121" i="12"/>
  <c r="E121" i="12" s="1"/>
  <c r="F121" i="12" s="1"/>
  <c r="C121" i="10"/>
  <c r="E121" i="10" s="1"/>
  <c r="F121" i="10" s="1"/>
  <c r="C121" i="3"/>
  <c r="E121" i="3" s="1"/>
  <c r="F121" i="3" s="1"/>
  <c r="K121" i="12"/>
  <c r="M121" i="12" s="1"/>
  <c r="N121" i="12" s="1"/>
  <c r="K121" i="10"/>
  <c r="M121" i="10" s="1"/>
  <c r="N121" i="10" s="1"/>
  <c r="K121" i="3"/>
  <c r="M121" i="3" s="1"/>
  <c r="N121" i="3" s="1"/>
  <c r="AJ23" i="10"/>
  <c r="AK23" i="10" s="1"/>
  <c r="AZ23" i="10"/>
  <c r="BA23" i="10" s="1"/>
  <c r="BB23" i="10" s="1"/>
  <c r="K24" i="12"/>
  <c r="C24" i="12"/>
  <c r="AQ24" i="12"/>
  <c r="AI24" i="12"/>
  <c r="AY24" i="12"/>
  <c r="AA24" i="12"/>
  <c r="S24" i="12"/>
  <c r="BG24" i="12"/>
  <c r="T23" i="12"/>
  <c r="U23" i="12" s="1"/>
  <c r="V23" i="12" s="1"/>
  <c r="D23" i="12"/>
  <c r="E23" i="12" s="1"/>
  <c r="F23" i="12" s="1"/>
  <c r="AL21" i="3"/>
  <c r="AX21" i="3"/>
  <c r="X122" i="3" s="1"/>
  <c r="Z21" i="3"/>
  <c r="L122" i="3" s="1"/>
  <c r="BB22" i="3"/>
  <c r="N21" i="3"/>
  <c r="AH21" i="3"/>
  <c r="P122" i="3" s="1"/>
  <c r="R21" i="3"/>
  <c r="H122" i="3" s="1"/>
  <c r="A39" i="2"/>
  <c r="A25" i="3"/>
  <c r="AT21" i="3"/>
  <c r="AD21" i="3"/>
  <c r="V21" i="3"/>
  <c r="BM22" i="3"/>
  <c r="BN22" i="3" s="1"/>
  <c r="AF123" i="3" s="1"/>
  <c r="BE22" i="3"/>
  <c r="BF22" i="3" s="1"/>
  <c r="AB123" i="3" s="1"/>
  <c r="BH23" i="3"/>
  <c r="BI23" i="3" s="1"/>
  <c r="L22" i="3"/>
  <c r="M22" i="3" s="1"/>
  <c r="T22" i="3"/>
  <c r="U22" i="3" s="1"/>
  <c r="C23" i="3"/>
  <c r="K23" i="3"/>
  <c r="AY23" i="3"/>
  <c r="S23" i="3"/>
  <c r="AI23" i="3"/>
  <c r="AA23" i="3"/>
  <c r="AQ23" i="3"/>
  <c r="AB22" i="3"/>
  <c r="AC22" i="3" s="1"/>
  <c r="AJ22" i="3"/>
  <c r="AK22" i="3" s="1"/>
  <c r="F22" i="3"/>
  <c r="AR22" i="3"/>
  <c r="AS22" i="3" s="1"/>
  <c r="AP21" i="3"/>
  <c r="T122" i="3" s="1"/>
  <c r="U34" i="2"/>
  <c r="V34" i="2" s="1"/>
  <c r="BG33" i="2"/>
  <c r="AG34" i="2"/>
  <c r="AH34" i="2" s="1"/>
  <c r="AC35" i="2"/>
  <c r="AE35" i="2"/>
  <c r="G36" i="2"/>
  <c r="C36" i="2"/>
  <c r="BG24" i="3"/>
  <c r="BH24" i="3" s="1"/>
  <c r="BI24" i="3" s="1"/>
  <c r="F36" i="2"/>
  <c r="B36" i="2"/>
  <c r="I36" i="2"/>
  <c r="E36" i="2"/>
  <c r="H36" i="2"/>
  <c r="D36" i="2"/>
  <c r="AU35" i="2"/>
  <c r="AW35" i="2"/>
  <c r="BA35" i="2"/>
  <c r="BC35" i="2"/>
  <c r="Q35" i="2"/>
  <c r="S35" i="2"/>
  <c r="AA34" i="2"/>
  <c r="AB34" i="2" s="1"/>
  <c r="AS34" i="2"/>
  <c r="AT34" i="2" s="1"/>
  <c r="K35" i="2"/>
  <c r="M35" i="2"/>
  <c r="N35" i="2" s="1"/>
  <c r="AO35" i="2"/>
  <c r="AQ35" i="2"/>
  <c r="AY34" i="2"/>
  <c r="AZ34" i="2" s="1"/>
  <c r="AI35" i="2"/>
  <c r="AK35" i="2"/>
  <c r="W35" i="2"/>
  <c r="Y35" i="2"/>
  <c r="AM34" i="2"/>
  <c r="AN34" i="2" s="1"/>
  <c r="BE34" i="2"/>
  <c r="BF34" i="2" s="1"/>
  <c r="L34" i="2"/>
  <c r="O34" i="2"/>
  <c r="P34" i="2" s="1"/>
  <c r="D23" i="3" l="1"/>
  <c r="E23" i="3" s="1"/>
  <c r="E18" i="22" s="1"/>
  <c r="A32" i="19"/>
  <c r="K31" i="19"/>
  <c r="I31" i="19"/>
  <c r="J31" i="19"/>
  <c r="B31" i="19"/>
  <c r="F31" i="19"/>
  <c r="C31" i="19"/>
  <c r="H31" i="19"/>
  <c r="D31" i="19"/>
  <c r="L31" i="19"/>
  <c r="E31" i="19"/>
  <c r="W23" i="3"/>
  <c r="X23" i="3" s="1"/>
  <c r="Y23" i="3" s="1"/>
  <c r="W23" i="12"/>
  <c r="X23" i="12" s="1"/>
  <c r="Y23" i="12" s="1"/>
  <c r="Z23" i="12" s="1"/>
  <c r="L124" i="12" s="1"/>
  <c r="W23" i="10"/>
  <c r="X23" i="10" s="1"/>
  <c r="Y23" i="10" s="1"/>
  <c r="D24" i="12"/>
  <c r="E24" i="12" s="1"/>
  <c r="F24" i="12" s="1"/>
  <c r="L24" i="10"/>
  <c r="M24" i="10" s="1"/>
  <c r="N24" i="10" s="1"/>
  <c r="AE122" i="12"/>
  <c r="AG122" i="12" s="1"/>
  <c r="AH122" i="12" s="1"/>
  <c r="AE122" i="10"/>
  <c r="AG122" i="10" s="1"/>
  <c r="AH122" i="10" s="1"/>
  <c r="AE122" i="3"/>
  <c r="AG122" i="3" s="1"/>
  <c r="AH122" i="3" s="1"/>
  <c r="K122" i="12"/>
  <c r="M122" i="12" s="1"/>
  <c r="N122" i="12" s="1"/>
  <c r="K122" i="10"/>
  <c r="M122" i="10" s="1"/>
  <c r="N122" i="10" s="1"/>
  <c r="K122" i="3"/>
  <c r="M122" i="3" s="1"/>
  <c r="N122" i="3" s="1"/>
  <c r="BC23" i="3"/>
  <c r="BD23" i="3" s="1"/>
  <c r="BE23" i="3" s="1"/>
  <c r="BC23" i="12"/>
  <c r="BD23" i="12" s="1"/>
  <c r="BE23" i="12" s="1"/>
  <c r="BF23" i="12" s="1"/>
  <c r="AB124" i="12" s="1"/>
  <c r="BC23" i="10"/>
  <c r="BD23" i="10" s="1"/>
  <c r="BE23" i="10" s="1"/>
  <c r="BF23" i="10" s="1"/>
  <c r="AB124" i="10" s="1"/>
  <c r="AM23" i="3"/>
  <c r="AN23" i="3" s="1"/>
  <c r="AO23" i="3" s="1"/>
  <c r="AM23" i="12"/>
  <c r="AN23" i="12" s="1"/>
  <c r="AO23" i="12" s="1"/>
  <c r="AP23" i="12" s="1"/>
  <c r="T124" i="12" s="1"/>
  <c r="AM23" i="10"/>
  <c r="AN23" i="10" s="1"/>
  <c r="AO23" i="10" s="1"/>
  <c r="AP23" i="10" s="1"/>
  <c r="T124" i="10" s="1"/>
  <c r="G122" i="12"/>
  <c r="I122" i="12" s="1"/>
  <c r="J122" i="12" s="1"/>
  <c r="G122" i="10"/>
  <c r="I122" i="10" s="1"/>
  <c r="J122" i="10" s="1"/>
  <c r="G122" i="3"/>
  <c r="I122" i="3" s="1"/>
  <c r="J122" i="3" s="1"/>
  <c r="AZ24" i="12"/>
  <c r="BA24" i="12" s="1"/>
  <c r="BB24" i="12" s="1"/>
  <c r="L24" i="12"/>
  <c r="M24" i="12" s="1"/>
  <c r="N24" i="12" s="1"/>
  <c r="T24" i="10"/>
  <c r="U24" i="10" s="1"/>
  <c r="V24" i="10" s="1"/>
  <c r="BH24" i="10"/>
  <c r="BI24" i="10" s="1"/>
  <c r="Z23" i="10"/>
  <c r="L124" i="10" s="1"/>
  <c r="AD23" i="10"/>
  <c r="K25" i="12"/>
  <c r="AA25" i="12"/>
  <c r="C25" i="12"/>
  <c r="S25" i="12"/>
  <c r="AY25" i="12"/>
  <c r="AQ25" i="12"/>
  <c r="AI25" i="12"/>
  <c r="BG25" i="12"/>
  <c r="AU23" i="3"/>
  <c r="AV23" i="3" s="1"/>
  <c r="AW23" i="3" s="1"/>
  <c r="AU23" i="12"/>
  <c r="AV23" i="12" s="1"/>
  <c r="AW23" i="12" s="1"/>
  <c r="AX23" i="12" s="1"/>
  <c r="X124" i="12" s="1"/>
  <c r="AU23" i="10"/>
  <c r="AV23" i="10" s="1"/>
  <c r="AW23" i="10" s="1"/>
  <c r="AX23" i="10" s="1"/>
  <c r="X124" i="10" s="1"/>
  <c r="AB24" i="12"/>
  <c r="AC24" i="12" s="1"/>
  <c r="AB24" i="10"/>
  <c r="AC24" i="10" s="1"/>
  <c r="AD24" i="10" s="1"/>
  <c r="AQ25" i="10"/>
  <c r="AY25" i="10"/>
  <c r="S25" i="10"/>
  <c r="AI25" i="10"/>
  <c r="K25" i="10"/>
  <c r="AA25" i="10"/>
  <c r="BG25" i="10"/>
  <c r="C25" i="10"/>
  <c r="AE23" i="3"/>
  <c r="AF23" i="3" s="1"/>
  <c r="AG23" i="3" s="1"/>
  <c r="AE23" i="12"/>
  <c r="AF23" i="12" s="1"/>
  <c r="AG23" i="12" s="1"/>
  <c r="AH23" i="12" s="1"/>
  <c r="P124" i="12" s="1"/>
  <c r="AE23" i="10"/>
  <c r="AF23" i="10" s="1"/>
  <c r="AG23" i="10" s="1"/>
  <c r="AH23" i="10" s="1"/>
  <c r="P124" i="10" s="1"/>
  <c r="BH24" i="12"/>
  <c r="BI24" i="12" s="1"/>
  <c r="BJ24" i="12"/>
  <c r="AJ24" i="12"/>
  <c r="AK24" i="12" s="1"/>
  <c r="AL23" i="10"/>
  <c r="AJ24" i="10"/>
  <c r="AK24" i="10" s="1"/>
  <c r="AL24" i="10" s="1"/>
  <c r="AZ24" i="10"/>
  <c r="BA24" i="10" s="1"/>
  <c r="N23" i="10"/>
  <c r="AT23" i="10"/>
  <c r="W122" i="12"/>
  <c r="Y122" i="12" s="1"/>
  <c r="Z122" i="12" s="1"/>
  <c r="W122" i="10"/>
  <c r="Y122" i="10" s="1"/>
  <c r="Z122" i="10" s="1"/>
  <c r="W122" i="3"/>
  <c r="Y122" i="3" s="1"/>
  <c r="Z122" i="3" s="1"/>
  <c r="G23" i="3"/>
  <c r="H23" i="3" s="1"/>
  <c r="I23" i="3" s="1"/>
  <c r="G23" i="12"/>
  <c r="H23" i="12" s="1"/>
  <c r="I23" i="12" s="1"/>
  <c r="J23" i="12" s="1"/>
  <c r="D124" i="12" s="1"/>
  <c r="G23" i="10"/>
  <c r="H23" i="10" s="1"/>
  <c r="I23" i="10" s="1"/>
  <c r="J23" i="10" s="1"/>
  <c r="D124" i="10" s="1"/>
  <c r="A26" i="12"/>
  <c r="A26" i="10"/>
  <c r="S122" i="12"/>
  <c r="U122" i="12" s="1"/>
  <c r="V122" i="12" s="1"/>
  <c r="S122" i="10"/>
  <c r="U122" i="10" s="1"/>
  <c r="V122" i="10" s="1"/>
  <c r="S122" i="3"/>
  <c r="U122" i="3" s="1"/>
  <c r="V122" i="3" s="1"/>
  <c r="C122" i="12"/>
  <c r="E122" i="12" s="1"/>
  <c r="F122" i="12" s="1"/>
  <c r="C122" i="10"/>
  <c r="E122" i="10" s="1"/>
  <c r="F122" i="10" s="1"/>
  <c r="C122" i="3"/>
  <c r="E122" i="3" s="1"/>
  <c r="F122" i="3" s="1"/>
  <c r="AA122" i="12"/>
  <c r="AC122" i="12" s="1"/>
  <c r="AD122" i="12" s="1"/>
  <c r="AA122" i="10"/>
  <c r="AC122" i="10" s="1"/>
  <c r="AD122" i="10" s="1"/>
  <c r="AA122" i="3"/>
  <c r="AC122" i="3" s="1"/>
  <c r="AD122" i="3" s="1"/>
  <c r="BK23" i="3"/>
  <c r="BL23" i="3" s="1"/>
  <c r="BM23" i="3" s="1"/>
  <c r="BN23" i="3" s="1"/>
  <c r="AF124" i="3" s="1"/>
  <c r="BK23" i="12"/>
  <c r="BL23" i="12" s="1"/>
  <c r="BM23" i="12" s="1"/>
  <c r="BN23" i="12" s="1"/>
  <c r="AF124" i="12" s="1"/>
  <c r="BK23" i="10"/>
  <c r="BL23" i="10" s="1"/>
  <c r="BM23" i="10" s="1"/>
  <c r="BN23" i="10" s="1"/>
  <c r="AF124" i="10" s="1"/>
  <c r="O23" i="3"/>
  <c r="P23" i="3" s="1"/>
  <c r="Q23" i="3" s="1"/>
  <c r="O23" i="12"/>
  <c r="P23" i="12" s="1"/>
  <c r="Q23" i="12" s="1"/>
  <c r="R23" i="12" s="1"/>
  <c r="H124" i="12" s="1"/>
  <c r="O23" i="10"/>
  <c r="P23" i="10" s="1"/>
  <c r="Q23" i="10" s="1"/>
  <c r="R23" i="10" s="1"/>
  <c r="H124" i="10" s="1"/>
  <c r="O122" i="12"/>
  <c r="Q122" i="12" s="1"/>
  <c r="R122" i="12" s="1"/>
  <c r="O122" i="10"/>
  <c r="Q122" i="10" s="1"/>
  <c r="R122" i="10" s="1"/>
  <c r="O122" i="3"/>
  <c r="Q122" i="3" s="1"/>
  <c r="R122" i="3" s="1"/>
  <c r="T24" i="12"/>
  <c r="U24" i="12" s="1"/>
  <c r="V24" i="12" s="1"/>
  <c r="AR24" i="12"/>
  <c r="AS24" i="12" s="1"/>
  <c r="AT24" i="12" s="1"/>
  <c r="AR24" i="10"/>
  <c r="AS24" i="10" s="1"/>
  <c r="AT24" i="10" s="1"/>
  <c r="D24" i="10"/>
  <c r="E24" i="10" s="1"/>
  <c r="F24" i="10" s="1"/>
  <c r="BJ24" i="3"/>
  <c r="AX22" i="3"/>
  <c r="X123" i="3" s="1"/>
  <c r="N22" i="3"/>
  <c r="V22" i="3"/>
  <c r="BJ23" i="3"/>
  <c r="AD22" i="3"/>
  <c r="AL22" i="3"/>
  <c r="J23" i="3"/>
  <c r="D124" i="3" s="1"/>
  <c r="AT22" i="3"/>
  <c r="A40" i="2"/>
  <c r="A26" i="3"/>
  <c r="AP22" i="3"/>
  <c r="T123" i="3" s="1"/>
  <c r="F23" i="3"/>
  <c r="R22" i="3"/>
  <c r="H123" i="3" s="1"/>
  <c r="AH22" i="3"/>
  <c r="P123" i="3" s="1"/>
  <c r="AZ23" i="3"/>
  <c r="BA23" i="3" s="1"/>
  <c r="AJ23" i="3"/>
  <c r="AK23" i="3" s="1"/>
  <c r="AR23" i="3"/>
  <c r="AS23" i="3" s="1"/>
  <c r="AB23" i="3"/>
  <c r="AC23" i="3" s="1"/>
  <c r="L23" i="3"/>
  <c r="M23" i="3" s="1"/>
  <c r="Z22" i="3"/>
  <c r="L123" i="3" s="1"/>
  <c r="C24" i="3"/>
  <c r="AI24" i="3"/>
  <c r="AA24" i="3"/>
  <c r="K24" i="3"/>
  <c r="S24" i="3"/>
  <c r="AQ24" i="3"/>
  <c r="AY24" i="3"/>
  <c r="AZ24" i="3" s="1"/>
  <c r="BA24" i="3" s="1"/>
  <c r="T23" i="3"/>
  <c r="U23" i="3" s="1"/>
  <c r="AM35" i="2"/>
  <c r="AN35" i="2" s="1"/>
  <c r="AG35" i="2"/>
  <c r="AH35" i="2" s="1"/>
  <c r="AA35" i="2"/>
  <c r="AB35" i="2" s="1"/>
  <c r="BG34" i="2"/>
  <c r="AC36" i="2"/>
  <c r="AE36" i="2"/>
  <c r="BG25" i="3"/>
  <c r="BH25" i="3" s="1"/>
  <c r="BI25" i="3" s="1"/>
  <c r="F37" i="2"/>
  <c r="B37" i="2"/>
  <c r="I37" i="2"/>
  <c r="E37" i="2"/>
  <c r="H37" i="2"/>
  <c r="D37" i="2"/>
  <c r="G37" i="2"/>
  <c r="C37" i="2"/>
  <c r="L35" i="2"/>
  <c r="O35" i="2"/>
  <c r="P35" i="2" s="1"/>
  <c r="U35" i="2"/>
  <c r="V35" i="2" s="1"/>
  <c r="AY35" i="2"/>
  <c r="AZ35" i="2" s="1"/>
  <c r="BA36" i="2"/>
  <c r="BC36" i="2"/>
  <c r="Q36" i="2"/>
  <c r="S36" i="2"/>
  <c r="W36" i="2"/>
  <c r="Y36" i="2"/>
  <c r="K36" i="2"/>
  <c r="M36" i="2"/>
  <c r="N36" i="2" s="1"/>
  <c r="AO36" i="2"/>
  <c r="AQ36" i="2"/>
  <c r="AS35" i="2"/>
  <c r="AT35" i="2" s="1"/>
  <c r="BE35" i="2"/>
  <c r="BF35" i="2" s="1"/>
  <c r="AU36" i="2"/>
  <c r="AW36" i="2"/>
  <c r="AI36" i="2"/>
  <c r="AK36" i="2"/>
  <c r="D24" i="3" l="1"/>
  <c r="E24" i="3" s="1"/>
  <c r="E19" i="22" s="1"/>
  <c r="A33" i="19"/>
  <c r="J32" i="19"/>
  <c r="H32" i="19"/>
  <c r="L32" i="19"/>
  <c r="I32" i="19"/>
  <c r="K32" i="19"/>
  <c r="E32" i="19"/>
  <c r="B32" i="19"/>
  <c r="F32" i="19"/>
  <c r="C32" i="19"/>
  <c r="D32" i="19"/>
  <c r="W24" i="3"/>
  <c r="X24" i="3" s="1"/>
  <c r="Y24" i="3" s="1"/>
  <c r="W24" i="12"/>
  <c r="X24" i="12" s="1"/>
  <c r="Y24" i="12" s="1"/>
  <c r="Z24" i="12" s="1"/>
  <c r="L125" i="12" s="1"/>
  <c r="W24" i="10"/>
  <c r="X24" i="10" s="1"/>
  <c r="Y24" i="10" s="1"/>
  <c r="Z24" i="10" s="1"/>
  <c r="L125" i="10" s="1"/>
  <c r="S123" i="12"/>
  <c r="U123" i="12" s="1"/>
  <c r="V123" i="12" s="1"/>
  <c r="S123" i="10"/>
  <c r="U123" i="10" s="1"/>
  <c r="V123" i="10" s="1"/>
  <c r="S123" i="3"/>
  <c r="BC24" i="3"/>
  <c r="BD24" i="3" s="1"/>
  <c r="BC24" i="12"/>
  <c r="BD24" i="12" s="1"/>
  <c r="BE24" i="12" s="1"/>
  <c r="BF24" i="12" s="1"/>
  <c r="AB125" i="12" s="1"/>
  <c r="BC24" i="10"/>
  <c r="BD24" i="10" s="1"/>
  <c r="BE24" i="10" s="1"/>
  <c r="BF24" i="10" s="1"/>
  <c r="AB125" i="10" s="1"/>
  <c r="AM24" i="3"/>
  <c r="AN24" i="3" s="1"/>
  <c r="AO24" i="3" s="1"/>
  <c r="AM24" i="12"/>
  <c r="AN24" i="12" s="1"/>
  <c r="AO24" i="12" s="1"/>
  <c r="AP24" i="12" s="1"/>
  <c r="T125" i="12" s="1"/>
  <c r="AM24" i="10"/>
  <c r="AN24" i="10" s="1"/>
  <c r="AO24" i="10" s="1"/>
  <c r="AP24" i="10" s="1"/>
  <c r="T125" i="10" s="1"/>
  <c r="A27" i="12"/>
  <c r="A27" i="10"/>
  <c r="AB25" i="10"/>
  <c r="AC25" i="10" s="1"/>
  <c r="AD25" i="10" s="1"/>
  <c r="AZ25" i="10"/>
  <c r="BA25" i="10" s="1"/>
  <c r="BB25" i="10" s="1"/>
  <c r="AJ25" i="12"/>
  <c r="AK25" i="12" s="1"/>
  <c r="AL25" i="12" s="1"/>
  <c r="D25" i="12"/>
  <c r="E25" i="12" s="1"/>
  <c r="F25" i="12" s="1"/>
  <c r="G24" i="3"/>
  <c r="H24" i="3" s="1"/>
  <c r="I24" i="3" s="1"/>
  <c r="G24" i="12"/>
  <c r="H24" i="12" s="1"/>
  <c r="I24" i="12" s="1"/>
  <c r="J24" i="12" s="1"/>
  <c r="D125" i="12" s="1"/>
  <c r="G24" i="10"/>
  <c r="H24" i="10" s="1"/>
  <c r="I24" i="10" s="1"/>
  <c r="J24" i="10" s="1"/>
  <c r="D125" i="10" s="1"/>
  <c r="BH25" i="10"/>
  <c r="BI25" i="10" s="1"/>
  <c r="BJ25" i="10" s="1"/>
  <c r="T25" i="12"/>
  <c r="U25" i="12" s="1"/>
  <c r="V25" i="12" s="1"/>
  <c r="AE123" i="12"/>
  <c r="AG123" i="12" s="1"/>
  <c r="AH123" i="12" s="1"/>
  <c r="AE123" i="10"/>
  <c r="AG123" i="10" s="1"/>
  <c r="AH123" i="10" s="1"/>
  <c r="AE123" i="3"/>
  <c r="AG123" i="3" s="1"/>
  <c r="AH123" i="3" s="1"/>
  <c r="AA123" i="12"/>
  <c r="AC123" i="12" s="1"/>
  <c r="AD123" i="12" s="1"/>
  <c r="AA123" i="10"/>
  <c r="AC123" i="10" s="1"/>
  <c r="AD123" i="10" s="1"/>
  <c r="AA123" i="3"/>
  <c r="AC123" i="3" s="1"/>
  <c r="AD123" i="3" s="1"/>
  <c r="O24" i="3"/>
  <c r="P24" i="3" s="1"/>
  <c r="Q24" i="3" s="1"/>
  <c r="O24" i="12"/>
  <c r="P24" i="12" s="1"/>
  <c r="Q24" i="12" s="1"/>
  <c r="R24" i="12" s="1"/>
  <c r="H125" i="12" s="1"/>
  <c r="O24" i="10"/>
  <c r="P24" i="10" s="1"/>
  <c r="Q24" i="10" s="1"/>
  <c r="R24" i="10" s="1"/>
  <c r="H125" i="10" s="1"/>
  <c r="AE24" i="3"/>
  <c r="AF24" i="3" s="1"/>
  <c r="AG24" i="3" s="1"/>
  <c r="AE24" i="12"/>
  <c r="AF24" i="12" s="1"/>
  <c r="AG24" i="12" s="1"/>
  <c r="AH24" i="12" s="1"/>
  <c r="P125" i="12" s="1"/>
  <c r="AE24" i="10"/>
  <c r="AF24" i="10" s="1"/>
  <c r="AG24" i="10" s="1"/>
  <c r="AH24" i="10" s="1"/>
  <c r="P125" i="10" s="1"/>
  <c r="K123" i="12"/>
  <c r="M123" i="12" s="1"/>
  <c r="N123" i="12" s="1"/>
  <c r="K123" i="10"/>
  <c r="M123" i="10" s="1"/>
  <c r="N123" i="10" s="1"/>
  <c r="K123" i="3"/>
  <c r="M123" i="3" s="1"/>
  <c r="N123" i="3" s="1"/>
  <c r="AI26" i="10"/>
  <c r="AA26" i="10"/>
  <c r="AY26" i="10"/>
  <c r="BG26" i="10"/>
  <c r="AQ26" i="10"/>
  <c r="C26" i="10"/>
  <c r="S26" i="10"/>
  <c r="K26" i="10"/>
  <c r="BB24" i="10"/>
  <c r="AL24" i="12"/>
  <c r="L25" i="10"/>
  <c r="M25" i="10" s="1"/>
  <c r="N25" i="10" s="1"/>
  <c r="AR25" i="10"/>
  <c r="AS25" i="10" s="1"/>
  <c r="AT25" i="10" s="1"/>
  <c r="AD24" i="12"/>
  <c r="AR25" i="12"/>
  <c r="AS25" i="12" s="1"/>
  <c r="AT25" i="12" s="1"/>
  <c r="AB25" i="12"/>
  <c r="AC25" i="12" s="1"/>
  <c r="AD25" i="12" s="1"/>
  <c r="BJ24" i="10"/>
  <c r="C123" i="12"/>
  <c r="E123" i="12" s="1"/>
  <c r="F123" i="12" s="1"/>
  <c r="C123" i="10"/>
  <c r="E123" i="10" s="1"/>
  <c r="F123" i="10" s="1"/>
  <c r="C123" i="3"/>
  <c r="E123" i="3" s="1"/>
  <c r="F123" i="3" s="1"/>
  <c r="T25" i="10"/>
  <c r="U25" i="10" s="1"/>
  <c r="BH25" i="12"/>
  <c r="BI25" i="12" s="1"/>
  <c r="BJ25" i="12" s="1"/>
  <c r="W123" i="12"/>
  <c r="Y123" i="12" s="1"/>
  <c r="Z123" i="12" s="1"/>
  <c r="W123" i="10"/>
  <c r="Y123" i="10" s="1"/>
  <c r="Z123" i="10" s="1"/>
  <c r="W123" i="3"/>
  <c r="Y123" i="3" s="1"/>
  <c r="Z123" i="3" s="1"/>
  <c r="G123" i="12"/>
  <c r="I123" i="12" s="1"/>
  <c r="J123" i="12" s="1"/>
  <c r="G123" i="10"/>
  <c r="I123" i="10" s="1"/>
  <c r="J123" i="10" s="1"/>
  <c r="G123" i="3"/>
  <c r="I123" i="3" s="1"/>
  <c r="J123" i="3" s="1"/>
  <c r="AU24" i="3"/>
  <c r="AV24" i="3" s="1"/>
  <c r="AW24" i="3" s="1"/>
  <c r="AU24" i="12"/>
  <c r="AV24" i="12" s="1"/>
  <c r="AW24" i="12" s="1"/>
  <c r="AX24" i="12" s="1"/>
  <c r="X125" i="12" s="1"/>
  <c r="AU24" i="10"/>
  <c r="AV24" i="10" s="1"/>
  <c r="AW24" i="10" s="1"/>
  <c r="AX24" i="10" s="1"/>
  <c r="X125" i="10" s="1"/>
  <c r="BK24" i="3"/>
  <c r="BL24" i="3" s="1"/>
  <c r="BK24" i="12"/>
  <c r="BL24" i="12" s="1"/>
  <c r="BM24" i="12" s="1"/>
  <c r="BN24" i="12" s="1"/>
  <c r="AF125" i="12" s="1"/>
  <c r="BK24" i="10"/>
  <c r="BL24" i="10" s="1"/>
  <c r="BM24" i="10" s="1"/>
  <c r="BN24" i="10" s="1"/>
  <c r="AF125" i="10" s="1"/>
  <c r="O123" i="12"/>
  <c r="Q123" i="12" s="1"/>
  <c r="R123" i="12" s="1"/>
  <c r="O123" i="10"/>
  <c r="Q123" i="10" s="1"/>
  <c r="R123" i="10" s="1"/>
  <c r="O123" i="3"/>
  <c r="Q123" i="3" s="1"/>
  <c r="R123" i="3" s="1"/>
  <c r="U123" i="3"/>
  <c r="V123" i="3" s="1"/>
  <c r="AY26" i="12"/>
  <c r="BG26" i="12"/>
  <c r="AA26" i="12"/>
  <c r="AQ26" i="12"/>
  <c r="C26" i="12"/>
  <c r="K26" i="12"/>
  <c r="AI26" i="12"/>
  <c r="S26" i="12"/>
  <c r="D25" i="10"/>
  <c r="E25" i="10" s="1"/>
  <c r="F25" i="10" s="1"/>
  <c r="AJ25" i="10"/>
  <c r="AK25" i="10" s="1"/>
  <c r="AL25" i="10" s="1"/>
  <c r="AZ25" i="12"/>
  <c r="BA25" i="12" s="1"/>
  <c r="BB25" i="12" s="1"/>
  <c r="L25" i="12"/>
  <c r="M25" i="12" s="1"/>
  <c r="N25" i="12" s="1"/>
  <c r="BB24" i="3"/>
  <c r="AH23" i="3"/>
  <c r="P124" i="3" s="1"/>
  <c r="BB23" i="3"/>
  <c r="N23" i="3"/>
  <c r="F24" i="3"/>
  <c r="AT23" i="3"/>
  <c r="BJ25" i="3"/>
  <c r="Z23" i="3"/>
  <c r="L124" i="3" s="1"/>
  <c r="AL23" i="3"/>
  <c r="A41" i="2"/>
  <c r="A27" i="3"/>
  <c r="J24" i="3"/>
  <c r="D125" i="3" s="1"/>
  <c r="V23" i="3"/>
  <c r="BF23" i="3"/>
  <c r="AB124" i="3" s="1"/>
  <c r="BE24" i="3"/>
  <c r="BF24" i="3" s="1"/>
  <c r="AB125" i="3" s="1"/>
  <c r="AD23" i="3"/>
  <c r="BM24" i="3"/>
  <c r="BN24" i="3" s="1"/>
  <c r="AF125" i="3" s="1"/>
  <c r="R23" i="3"/>
  <c r="H124" i="3" s="1"/>
  <c r="L24" i="3"/>
  <c r="M24" i="3" s="1"/>
  <c r="AB24" i="3"/>
  <c r="AC24" i="3" s="1"/>
  <c r="AR24" i="3"/>
  <c r="AS24" i="3" s="1"/>
  <c r="AJ24" i="3"/>
  <c r="AK24" i="3" s="1"/>
  <c r="AX23" i="3"/>
  <c r="X124" i="3" s="1"/>
  <c r="AP23" i="3"/>
  <c r="T124" i="3" s="1"/>
  <c r="C25" i="3"/>
  <c r="AA25" i="3"/>
  <c r="AI25" i="3"/>
  <c r="AY25" i="3"/>
  <c r="AZ25" i="3" s="1"/>
  <c r="BA25" i="3" s="1"/>
  <c r="AQ25" i="3"/>
  <c r="K25" i="3"/>
  <c r="S25" i="3"/>
  <c r="T24" i="3"/>
  <c r="U24" i="3" s="1"/>
  <c r="AG36" i="2"/>
  <c r="AH36" i="2" s="1"/>
  <c r="BG35" i="2"/>
  <c r="AY36" i="2"/>
  <c r="AZ36" i="2" s="1"/>
  <c r="AS36" i="2"/>
  <c r="AT36" i="2" s="1"/>
  <c r="AA36" i="2"/>
  <c r="AB36" i="2" s="1"/>
  <c r="BE36" i="2"/>
  <c r="BF36" i="2" s="1"/>
  <c r="AU37" i="2"/>
  <c r="AW37" i="2"/>
  <c r="AI37" i="2"/>
  <c r="AK37" i="2"/>
  <c r="Q37" i="2"/>
  <c r="S37" i="2"/>
  <c r="AC37" i="2"/>
  <c r="AE37" i="2"/>
  <c r="I38" i="2"/>
  <c r="E38" i="2"/>
  <c r="H38" i="2"/>
  <c r="D38" i="2"/>
  <c r="G38" i="2"/>
  <c r="C38" i="2"/>
  <c r="BG26" i="3"/>
  <c r="BH26" i="3" s="1"/>
  <c r="BI26" i="3" s="1"/>
  <c r="F38" i="2"/>
  <c r="B38" i="2"/>
  <c r="AM36" i="2"/>
  <c r="AN36" i="2" s="1"/>
  <c r="O36" i="2"/>
  <c r="P36" i="2" s="1"/>
  <c r="L36" i="2"/>
  <c r="U36" i="2"/>
  <c r="V36" i="2" s="1"/>
  <c r="AO37" i="2"/>
  <c r="AQ37" i="2"/>
  <c r="BA37" i="2"/>
  <c r="BC37" i="2"/>
  <c r="W37" i="2"/>
  <c r="Y37" i="2"/>
  <c r="K37" i="2"/>
  <c r="M37" i="2"/>
  <c r="N37" i="2" s="1"/>
  <c r="D25" i="3" l="1"/>
  <c r="E25" i="3" s="1"/>
  <c r="F25" i="3" s="1"/>
  <c r="A34" i="19"/>
  <c r="I33" i="19"/>
  <c r="K33" i="19"/>
  <c r="H33" i="19"/>
  <c r="L33" i="19"/>
  <c r="D33" i="19"/>
  <c r="J33" i="19"/>
  <c r="E33" i="19"/>
  <c r="B33" i="19"/>
  <c r="F33" i="19"/>
  <c r="C33" i="19"/>
  <c r="AM25" i="3"/>
  <c r="AN25" i="3" s="1"/>
  <c r="AO25" i="3" s="1"/>
  <c r="AM25" i="12"/>
  <c r="AN25" i="12" s="1"/>
  <c r="AO25" i="12" s="1"/>
  <c r="AM25" i="10"/>
  <c r="AN25" i="10" s="1"/>
  <c r="AO25" i="10" s="1"/>
  <c r="AP25" i="10" s="1"/>
  <c r="T126" i="10" s="1"/>
  <c r="AE124" i="12"/>
  <c r="AG124" i="12" s="1"/>
  <c r="AH124" i="12" s="1"/>
  <c r="AE124" i="10"/>
  <c r="AG124" i="10" s="1"/>
  <c r="AH124" i="10" s="1"/>
  <c r="AE124" i="3"/>
  <c r="AG124" i="3" s="1"/>
  <c r="AH124" i="3" s="1"/>
  <c r="AJ26" i="12"/>
  <c r="AK26" i="12" s="1"/>
  <c r="AL26" i="12" s="1"/>
  <c r="AR26" i="10"/>
  <c r="AS26" i="10" s="1"/>
  <c r="C124" i="12"/>
  <c r="E124" i="12" s="1"/>
  <c r="F124" i="12" s="1"/>
  <c r="C124" i="10"/>
  <c r="E124" i="10" s="1"/>
  <c r="F124" i="10" s="1"/>
  <c r="C124" i="3"/>
  <c r="E124" i="3" s="1"/>
  <c r="F124" i="3" s="1"/>
  <c r="BC25" i="3"/>
  <c r="BD25" i="3" s="1"/>
  <c r="BC25" i="12"/>
  <c r="BD25" i="12" s="1"/>
  <c r="BE25" i="12" s="1"/>
  <c r="BF25" i="12" s="1"/>
  <c r="AB126" i="12" s="1"/>
  <c r="BC25" i="10"/>
  <c r="BD25" i="10" s="1"/>
  <c r="BE25" i="10" s="1"/>
  <c r="BF25" i="10" s="1"/>
  <c r="AB126" i="10" s="1"/>
  <c r="K124" i="12"/>
  <c r="M124" i="12" s="1"/>
  <c r="N124" i="12" s="1"/>
  <c r="K124" i="10"/>
  <c r="M124" i="10" s="1"/>
  <c r="N124" i="10" s="1"/>
  <c r="K124" i="3"/>
  <c r="M124" i="3" s="1"/>
  <c r="N124" i="3" s="1"/>
  <c r="O124" i="12"/>
  <c r="Q124" i="12" s="1"/>
  <c r="R124" i="12" s="1"/>
  <c r="O124" i="10"/>
  <c r="Q124" i="10" s="1"/>
  <c r="R124" i="10" s="1"/>
  <c r="O124" i="3"/>
  <c r="Q124" i="3" s="1"/>
  <c r="R124" i="3" s="1"/>
  <c r="A28" i="12"/>
  <c r="A28" i="10"/>
  <c r="L26" i="12"/>
  <c r="M26" i="12" s="1"/>
  <c r="N26" i="12" s="1"/>
  <c r="BH26" i="12"/>
  <c r="BI26" i="12" s="1"/>
  <c r="BJ26" i="12" s="1"/>
  <c r="L26" i="10"/>
  <c r="M26" i="10" s="1"/>
  <c r="N26" i="10" s="1"/>
  <c r="BH26" i="10"/>
  <c r="BI26" i="10" s="1"/>
  <c r="BJ26" i="10" s="1"/>
  <c r="S124" i="12"/>
  <c r="U124" i="12" s="1"/>
  <c r="V124" i="12" s="1"/>
  <c r="S124" i="10"/>
  <c r="U124" i="10" s="1"/>
  <c r="V124" i="10" s="1"/>
  <c r="S124" i="3"/>
  <c r="U124" i="3" s="1"/>
  <c r="V124" i="3" s="1"/>
  <c r="W124" i="12"/>
  <c r="Y124" i="12" s="1"/>
  <c r="Z124" i="12" s="1"/>
  <c r="W124" i="10"/>
  <c r="Y124" i="10" s="1"/>
  <c r="Z124" i="10" s="1"/>
  <c r="W124" i="3"/>
  <c r="Y124" i="3" s="1"/>
  <c r="Z124" i="3" s="1"/>
  <c r="D26" i="12"/>
  <c r="E26" i="12" s="1"/>
  <c r="AZ26" i="12"/>
  <c r="BA26" i="12" s="1"/>
  <c r="BB26" i="12" s="1"/>
  <c r="V25" i="10"/>
  <c r="T26" i="10"/>
  <c r="U26" i="10" s="1"/>
  <c r="V26" i="10" s="1"/>
  <c r="AZ26" i="10"/>
  <c r="BA26" i="10" s="1"/>
  <c r="BB26" i="10" s="1"/>
  <c r="W25" i="3"/>
  <c r="X25" i="3" s="1"/>
  <c r="Y25" i="3" s="1"/>
  <c r="W25" i="12"/>
  <c r="X25" i="12" s="1"/>
  <c r="Y25" i="12" s="1"/>
  <c r="Z25" i="12" s="1"/>
  <c r="L126" i="12" s="1"/>
  <c r="W25" i="10"/>
  <c r="X25" i="10" s="1"/>
  <c r="Y25" i="10" s="1"/>
  <c r="Z25" i="10" s="1"/>
  <c r="L126" i="10" s="1"/>
  <c r="AB26" i="12"/>
  <c r="AC26" i="12" s="1"/>
  <c r="AJ26" i="10"/>
  <c r="AK26" i="10" s="1"/>
  <c r="AL26" i="10" s="1"/>
  <c r="AA27" i="12"/>
  <c r="K27" i="12"/>
  <c r="AY27" i="12"/>
  <c r="AQ27" i="12"/>
  <c r="C27" i="12"/>
  <c r="AI27" i="12"/>
  <c r="S27" i="12"/>
  <c r="BG27" i="12"/>
  <c r="O25" i="3"/>
  <c r="P25" i="3" s="1"/>
  <c r="Q25" i="3" s="1"/>
  <c r="O25" i="12"/>
  <c r="P25" i="12" s="1"/>
  <c r="Q25" i="12" s="1"/>
  <c r="R25" i="12" s="1"/>
  <c r="H126" i="12" s="1"/>
  <c r="O25" i="10"/>
  <c r="P25" i="10" s="1"/>
  <c r="Q25" i="10" s="1"/>
  <c r="R25" i="10" s="1"/>
  <c r="H126" i="10" s="1"/>
  <c r="AE25" i="3"/>
  <c r="AF25" i="3" s="1"/>
  <c r="AG25" i="3" s="1"/>
  <c r="AE25" i="12"/>
  <c r="AF25" i="12" s="1"/>
  <c r="AG25" i="12" s="1"/>
  <c r="AH25" i="12" s="1"/>
  <c r="P126" i="12" s="1"/>
  <c r="AE25" i="10"/>
  <c r="AF25" i="10" s="1"/>
  <c r="AG25" i="10" s="1"/>
  <c r="AH25" i="10" s="1"/>
  <c r="P126" i="10" s="1"/>
  <c r="G124" i="12"/>
  <c r="I124" i="12" s="1"/>
  <c r="J124" i="12" s="1"/>
  <c r="G124" i="10"/>
  <c r="I124" i="10" s="1"/>
  <c r="J124" i="10" s="1"/>
  <c r="G124" i="3"/>
  <c r="I124" i="3" s="1"/>
  <c r="J124" i="3" s="1"/>
  <c r="G25" i="3"/>
  <c r="H25" i="3" s="1"/>
  <c r="I25" i="3" s="1"/>
  <c r="J25" i="3" s="1"/>
  <c r="D126" i="3" s="1"/>
  <c r="G25" i="12"/>
  <c r="H25" i="12" s="1"/>
  <c r="I25" i="12" s="1"/>
  <c r="J25" i="12" s="1"/>
  <c r="D126" i="12" s="1"/>
  <c r="G25" i="10"/>
  <c r="H25" i="10" s="1"/>
  <c r="I25" i="10" s="1"/>
  <c r="J25" i="10" s="1"/>
  <c r="D126" i="10" s="1"/>
  <c r="AU25" i="3"/>
  <c r="AV25" i="3" s="1"/>
  <c r="AW25" i="3" s="1"/>
  <c r="AU25" i="12"/>
  <c r="AV25" i="12" s="1"/>
  <c r="AW25" i="12" s="1"/>
  <c r="AX25" i="12" s="1"/>
  <c r="X126" i="12" s="1"/>
  <c r="AU25" i="10"/>
  <c r="AV25" i="10" s="1"/>
  <c r="AW25" i="10" s="1"/>
  <c r="AX25" i="10" s="1"/>
  <c r="X126" i="10" s="1"/>
  <c r="BK25" i="3"/>
  <c r="BL25" i="3" s="1"/>
  <c r="BM25" i="3" s="1"/>
  <c r="BN25" i="3" s="1"/>
  <c r="AF126" i="3" s="1"/>
  <c r="BK25" i="12"/>
  <c r="BL25" i="12" s="1"/>
  <c r="BM25" i="12" s="1"/>
  <c r="BN25" i="12" s="1"/>
  <c r="AF126" i="12" s="1"/>
  <c r="BK25" i="10"/>
  <c r="BL25" i="10" s="1"/>
  <c r="BM25" i="10" s="1"/>
  <c r="BN25" i="10" s="1"/>
  <c r="AF126" i="10" s="1"/>
  <c r="AA124" i="12"/>
  <c r="AC124" i="12" s="1"/>
  <c r="AD124" i="12" s="1"/>
  <c r="AA124" i="10"/>
  <c r="AC124" i="10" s="1"/>
  <c r="AD124" i="10" s="1"/>
  <c r="AA124" i="3"/>
  <c r="AC124" i="3" s="1"/>
  <c r="AD124" i="3" s="1"/>
  <c r="T26" i="12"/>
  <c r="U26" i="12" s="1"/>
  <c r="V26" i="12" s="1"/>
  <c r="AR26" i="12"/>
  <c r="AS26" i="12" s="1"/>
  <c r="D26" i="10"/>
  <c r="E26" i="10" s="1"/>
  <c r="F26" i="10" s="1"/>
  <c r="AB26" i="10"/>
  <c r="AC26" i="10" s="1"/>
  <c r="AD26" i="10" s="1"/>
  <c r="AP25" i="12"/>
  <c r="T126" i="12" s="1"/>
  <c r="C27" i="10"/>
  <c r="S27" i="10"/>
  <c r="BG27" i="10"/>
  <c r="AQ27" i="10"/>
  <c r="AY27" i="10"/>
  <c r="K27" i="10"/>
  <c r="AA27" i="10"/>
  <c r="AI27" i="10"/>
  <c r="Z24" i="3"/>
  <c r="L125" i="3" s="1"/>
  <c r="N24" i="3"/>
  <c r="AH24" i="3"/>
  <c r="P125" i="3" s="1"/>
  <c r="AL24" i="3"/>
  <c r="BB25" i="3"/>
  <c r="BJ26" i="3"/>
  <c r="AT24" i="3"/>
  <c r="A28" i="3"/>
  <c r="A42" i="2"/>
  <c r="AD24" i="3"/>
  <c r="AX24" i="3"/>
  <c r="X125" i="3" s="1"/>
  <c r="R24" i="3"/>
  <c r="H125" i="3" s="1"/>
  <c r="BE25" i="3"/>
  <c r="BF25" i="3" s="1"/>
  <c r="AB126" i="3" s="1"/>
  <c r="V24" i="3"/>
  <c r="C26" i="3"/>
  <c r="S26" i="3"/>
  <c r="K26" i="3"/>
  <c r="AY26" i="3"/>
  <c r="AZ26" i="3" s="1"/>
  <c r="BA26" i="3" s="1"/>
  <c r="AA26" i="3"/>
  <c r="AI26" i="3"/>
  <c r="AQ26" i="3"/>
  <c r="T25" i="3"/>
  <c r="U25" i="3" s="1"/>
  <c r="AJ25" i="3"/>
  <c r="AK25" i="3" s="1"/>
  <c r="L25" i="3"/>
  <c r="M25" i="3" s="1"/>
  <c r="AB25" i="3"/>
  <c r="AC25" i="3" s="1"/>
  <c r="AR25" i="3"/>
  <c r="AS25" i="3" s="1"/>
  <c r="AP24" i="3"/>
  <c r="T125" i="3" s="1"/>
  <c r="AG37" i="2"/>
  <c r="AH37" i="2" s="1"/>
  <c r="AM37" i="2"/>
  <c r="AN37" i="2" s="1"/>
  <c r="BG36" i="2"/>
  <c r="L37" i="2"/>
  <c r="O37" i="2"/>
  <c r="P37" i="2" s="1"/>
  <c r="BE37" i="2"/>
  <c r="BF37" i="2" s="1"/>
  <c r="AI38" i="2"/>
  <c r="AK38" i="2"/>
  <c r="W38" i="2"/>
  <c r="Y38" i="2"/>
  <c r="H39" i="2"/>
  <c r="D39" i="2"/>
  <c r="G39" i="2"/>
  <c r="C39" i="2"/>
  <c r="BG27" i="3"/>
  <c r="F39" i="2"/>
  <c r="B39" i="2"/>
  <c r="I39" i="2"/>
  <c r="E39" i="2"/>
  <c r="AU38" i="2"/>
  <c r="AW38" i="2"/>
  <c r="AA37" i="2"/>
  <c r="AB37" i="2" s="1"/>
  <c r="AS37" i="2"/>
  <c r="AT37" i="2" s="1"/>
  <c r="Q38" i="2"/>
  <c r="S38" i="2"/>
  <c r="AC38" i="2"/>
  <c r="AE38" i="2"/>
  <c r="K38" i="2"/>
  <c r="M38" i="2"/>
  <c r="N38" i="2" s="1"/>
  <c r="AO38" i="2"/>
  <c r="AQ38" i="2"/>
  <c r="BA38" i="2"/>
  <c r="BC38" i="2"/>
  <c r="U37" i="2"/>
  <c r="V37" i="2" s="1"/>
  <c r="AY37" i="2"/>
  <c r="AZ37" i="2" s="1"/>
  <c r="D26" i="3" l="1"/>
  <c r="E26" i="3" s="1"/>
  <c r="E21" i="22" s="1"/>
  <c r="E20" i="22"/>
  <c r="A35" i="19"/>
  <c r="H34" i="19"/>
  <c r="L34" i="19"/>
  <c r="J34" i="19"/>
  <c r="K34" i="19"/>
  <c r="C34" i="19"/>
  <c r="D34" i="19"/>
  <c r="I34" i="19"/>
  <c r="E34" i="19"/>
  <c r="B34" i="19"/>
  <c r="F34" i="19"/>
  <c r="O26" i="3"/>
  <c r="P26" i="3" s="1"/>
  <c r="Q26" i="3" s="1"/>
  <c r="O26" i="12"/>
  <c r="P26" i="12" s="1"/>
  <c r="Q26" i="12" s="1"/>
  <c r="R26" i="12" s="1"/>
  <c r="H127" i="12" s="1"/>
  <c r="O26" i="10"/>
  <c r="P26" i="10" s="1"/>
  <c r="Q26" i="10" s="1"/>
  <c r="R26" i="10" s="1"/>
  <c r="H127" i="10" s="1"/>
  <c r="S125" i="12"/>
  <c r="U125" i="12" s="1"/>
  <c r="V125" i="12" s="1"/>
  <c r="S125" i="10"/>
  <c r="U125" i="10" s="1"/>
  <c r="V125" i="10" s="1"/>
  <c r="S125" i="3"/>
  <c r="U125" i="3" s="1"/>
  <c r="V125" i="3" s="1"/>
  <c r="L27" i="10"/>
  <c r="M27" i="10" s="1"/>
  <c r="N27" i="10" s="1"/>
  <c r="AR27" i="12"/>
  <c r="AS27" i="12" s="1"/>
  <c r="AT27" i="12" s="1"/>
  <c r="AI28" i="12"/>
  <c r="K28" i="12"/>
  <c r="AA28" i="12"/>
  <c r="C28" i="12"/>
  <c r="S28" i="12"/>
  <c r="AQ28" i="12"/>
  <c r="AY28" i="12"/>
  <c r="BG28" i="12"/>
  <c r="G26" i="3"/>
  <c r="H26" i="3" s="1"/>
  <c r="I26" i="3" s="1"/>
  <c r="J26" i="3" s="1"/>
  <c r="D127" i="3" s="1"/>
  <c r="G26" i="12"/>
  <c r="H26" i="12" s="1"/>
  <c r="I26" i="12" s="1"/>
  <c r="J26" i="12" s="1"/>
  <c r="D127" i="12" s="1"/>
  <c r="G26" i="10"/>
  <c r="H26" i="10" s="1"/>
  <c r="I26" i="10" s="1"/>
  <c r="AU26" i="3"/>
  <c r="AV26" i="3" s="1"/>
  <c r="AW26" i="3" s="1"/>
  <c r="AU26" i="12"/>
  <c r="AV26" i="12" s="1"/>
  <c r="AW26" i="12" s="1"/>
  <c r="AX26" i="12" s="1"/>
  <c r="X127" i="12" s="1"/>
  <c r="AU26" i="10"/>
  <c r="AV26" i="10" s="1"/>
  <c r="AW26" i="10" s="1"/>
  <c r="AX26" i="10" s="1"/>
  <c r="X127" i="10" s="1"/>
  <c r="C125" i="12"/>
  <c r="E125" i="12" s="1"/>
  <c r="F125" i="12" s="1"/>
  <c r="C125" i="10"/>
  <c r="E125" i="10" s="1"/>
  <c r="F125" i="10" s="1"/>
  <c r="C125" i="3"/>
  <c r="E125" i="3" s="1"/>
  <c r="F125" i="3" s="1"/>
  <c r="O125" i="12"/>
  <c r="Q125" i="12" s="1"/>
  <c r="R125" i="12" s="1"/>
  <c r="O125" i="10"/>
  <c r="Q125" i="10" s="1"/>
  <c r="R125" i="10" s="1"/>
  <c r="O125" i="3"/>
  <c r="Q125" i="3" s="1"/>
  <c r="R125" i="3" s="1"/>
  <c r="A29" i="12"/>
  <c r="A29" i="10"/>
  <c r="AZ27" i="10"/>
  <c r="BA27" i="10" s="1"/>
  <c r="BB27" i="10" s="1"/>
  <c r="D27" i="10"/>
  <c r="E27" i="10" s="1"/>
  <c r="AT26" i="12"/>
  <c r="T27" i="12"/>
  <c r="U27" i="12" s="1"/>
  <c r="AZ27" i="12"/>
  <c r="BA27" i="12" s="1"/>
  <c r="BB27" i="12" s="1"/>
  <c r="AT26" i="10"/>
  <c r="G125" i="12"/>
  <c r="I125" i="12" s="1"/>
  <c r="J125" i="12" s="1"/>
  <c r="G125" i="10"/>
  <c r="I125" i="10" s="1"/>
  <c r="J125" i="10" s="1"/>
  <c r="G125" i="3"/>
  <c r="I125" i="3" s="1"/>
  <c r="J125" i="3" s="1"/>
  <c r="BK26" i="3"/>
  <c r="BL26" i="3" s="1"/>
  <c r="BK26" i="12"/>
  <c r="BL26" i="12" s="1"/>
  <c r="BM26" i="12" s="1"/>
  <c r="BK26" i="10"/>
  <c r="BL26" i="10" s="1"/>
  <c r="BM26" i="10" s="1"/>
  <c r="BN26" i="10" s="1"/>
  <c r="AF127" i="10" s="1"/>
  <c r="AE125" i="12"/>
  <c r="AG125" i="12" s="1"/>
  <c r="AH125" i="12" s="1"/>
  <c r="AE125" i="10"/>
  <c r="AG125" i="10" s="1"/>
  <c r="AH125" i="10" s="1"/>
  <c r="AE125" i="3"/>
  <c r="AG125" i="3" s="1"/>
  <c r="AH125" i="3" s="1"/>
  <c r="T27" i="10"/>
  <c r="U27" i="10" s="1"/>
  <c r="BH27" i="12"/>
  <c r="BI27" i="12" s="1"/>
  <c r="BJ27" i="12" s="1"/>
  <c r="AM26" i="3"/>
  <c r="AN26" i="3" s="1"/>
  <c r="AO26" i="3" s="1"/>
  <c r="AM26" i="12"/>
  <c r="AN26" i="12" s="1"/>
  <c r="AO26" i="12" s="1"/>
  <c r="AP26" i="12" s="1"/>
  <c r="T127" i="12" s="1"/>
  <c r="AM26" i="10"/>
  <c r="AN26" i="10" s="1"/>
  <c r="AO26" i="10" s="1"/>
  <c r="AP26" i="10" s="1"/>
  <c r="T127" i="10" s="1"/>
  <c r="W26" i="3"/>
  <c r="X26" i="3" s="1"/>
  <c r="Y26" i="3" s="1"/>
  <c r="W26" i="12"/>
  <c r="X26" i="12" s="1"/>
  <c r="Y26" i="12" s="1"/>
  <c r="Z26" i="12" s="1"/>
  <c r="L127" i="12" s="1"/>
  <c r="W26" i="10"/>
  <c r="X26" i="10" s="1"/>
  <c r="Y26" i="10" s="1"/>
  <c r="Z26" i="10" s="1"/>
  <c r="L127" i="10" s="1"/>
  <c r="AJ27" i="10"/>
  <c r="AK27" i="10" s="1"/>
  <c r="AL27" i="10" s="1"/>
  <c r="AR27" i="10"/>
  <c r="AS27" i="10" s="1"/>
  <c r="AT27" i="10" s="1"/>
  <c r="J26" i="10"/>
  <c r="D127" i="10" s="1"/>
  <c r="AJ27" i="12"/>
  <c r="AK27" i="12" s="1"/>
  <c r="AL27" i="12" s="1"/>
  <c r="L27" i="12"/>
  <c r="M27" i="12" s="1"/>
  <c r="F26" i="12"/>
  <c r="K125" i="12"/>
  <c r="M125" i="12" s="1"/>
  <c r="N125" i="12" s="1"/>
  <c r="K125" i="10"/>
  <c r="M125" i="10" s="1"/>
  <c r="N125" i="10" s="1"/>
  <c r="K125" i="3"/>
  <c r="M125" i="3" s="1"/>
  <c r="N125" i="3" s="1"/>
  <c r="AA125" i="12"/>
  <c r="AC125" i="12" s="1"/>
  <c r="AD125" i="12" s="1"/>
  <c r="AA125" i="10"/>
  <c r="AC125" i="10" s="1"/>
  <c r="AD125" i="10" s="1"/>
  <c r="AA125" i="3"/>
  <c r="AC125" i="3" s="1"/>
  <c r="AD125" i="3" s="1"/>
  <c r="W125" i="12"/>
  <c r="Y125" i="12" s="1"/>
  <c r="Z125" i="12" s="1"/>
  <c r="W125" i="10"/>
  <c r="Y125" i="10" s="1"/>
  <c r="Z125" i="10" s="1"/>
  <c r="W125" i="3"/>
  <c r="Y125" i="3" s="1"/>
  <c r="Z125" i="3" s="1"/>
  <c r="AE26" i="3"/>
  <c r="AF26" i="3" s="1"/>
  <c r="AG26" i="3" s="1"/>
  <c r="AE26" i="12"/>
  <c r="AF26" i="12" s="1"/>
  <c r="AG26" i="12" s="1"/>
  <c r="AH26" i="12" s="1"/>
  <c r="P127" i="12" s="1"/>
  <c r="AE26" i="10"/>
  <c r="AF26" i="10" s="1"/>
  <c r="AG26" i="10" s="1"/>
  <c r="AH26" i="10" s="1"/>
  <c r="P127" i="10" s="1"/>
  <c r="BC26" i="3"/>
  <c r="BD26" i="3" s="1"/>
  <c r="BC26" i="12"/>
  <c r="BD26" i="12" s="1"/>
  <c r="BE26" i="12" s="1"/>
  <c r="BF26" i="12" s="1"/>
  <c r="AB127" i="12" s="1"/>
  <c r="BC26" i="10"/>
  <c r="BD26" i="10" s="1"/>
  <c r="BE26" i="10" s="1"/>
  <c r="BF26" i="10" s="1"/>
  <c r="AB127" i="10" s="1"/>
  <c r="AB27" i="10"/>
  <c r="AC27" i="10" s="1"/>
  <c r="BH27" i="10"/>
  <c r="BI27" i="10" s="1"/>
  <c r="BJ27" i="10" s="1"/>
  <c r="D27" i="12"/>
  <c r="E27" i="12" s="1"/>
  <c r="F27" i="12" s="1"/>
  <c r="AB27" i="12"/>
  <c r="AC27" i="12" s="1"/>
  <c r="AD27" i="12" s="1"/>
  <c r="AD26" i="12"/>
  <c r="BN26" i="12"/>
  <c r="AF127" i="12" s="1"/>
  <c r="AQ28" i="10"/>
  <c r="AY28" i="10"/>
  <c r="AI28" i="10"/>
  <c r="K28" i="10"/>
  <c r="S28" i="10"/>
  <c r="AA28" i="10"/>
  <c r="C28" i="10"/>
  <c r="BG28" i="10"/>
  <c r="AL25" i="3"/>
  <c r="N25" i="3"/>
  <c r="BB26" i="3"/>
  <c r="AX25" i="3"/>
  <c r="X126" i="3" s="1"/>
  <c r="Z25" i="3"/>
  <c r="L126" i="3" s="1"/>
  <c r="AD25" i="3"/>
  <c r="A43" i="2"/>
  <c r="A29" i="3"/>
  <c r="H42" i="2"/>
  <c r="I42" i="2"/>
  <c r="G42" i="2"/>
  <c r="E42" i="2"/>
  <c r="D42" i="2"/>
  <c r="F42" i="2"/>
  <c r="B42" i="2"/>
  <c r="C42" i="2"/>
  <c r="F26" i="3"/>
  <c r="R25" i="3"/>
  <c r="H126" i="3" s="1"/>
  <c r="V25" i="3"/>
  <c r="BH27" i="3"/>
  <c r="BI27" i="3" s="1"/>
  <c r="BE26" i="3"/>
  <c r="BF26" i="3" s="1"/>
  <c r="AB127" i="3" s="1"/>
  <c r="BM26" i="3"/>
  <c r="BN26" i="3" s="1"/>
  <c r="AF127" i="3" s="1"/>
  <c r="AP25" i="3"/>
  <c r="T126" i="3" s="1"/>
  <c r="AT25" i="3"/>
  <c r="C27" i="3"/>
  <c r="AY27" i="3"/>
  <c r="AQ27" i="3"/>
  <c r="S27" i="3"/>
  <c r="K27" i="3"/>
  <c r="AI27" i="3"/>
  <c r="AA27" i="3"/>
  <c r="AR26" i="3"/>
  <c r="AS26" i="3" s="1"/>
  <c r="L26" i="3"/>
  <c r="M26" i="3" s="1"/>
  <c r="AH25" i="3"/>
  <c r="P126" i="3" s="1"/>
  <c r="AJ26" i="3"/>
  <c r="AK26" i="3" s="1"/>
  <c r="T26" i="3"/>
  <c r="U26" i="3" s="1"/>
  <c r="AB26" i="3"/>
  <c r="AC26" i="3" s="1"/>
  <c r="AM38" i="2"/>
  <c r="AN38" i="2" s="1"/>
  <c r="AS38" i="2"/>
  <c r="AT38" i="2" s="1"/>
  <c r="AG38" i="2"/>
  <c r="AH38" i="2" s="1"/>
  <c r="BG37" i="2"/>
  <c r="AC39" i="2"/>
  <c r="AE39" i="2"/>
  <c r="G40" i="2"/>
  <c r="C40" i="2"/>
  <c r="BG28" i="3"/>
  <c r="BH28" i="3" s="1"/>
  <c r="BI28" i="3" s="1"/>
  <c r="F40" i="2"/>
  <c r="B40" i="2"/>
  <c r="I40" i="2"/>
  <c r="E40" i="2"/>
  <c r="H40" i="2"/>
  <c r="D40" i="2"/>
  <c r="AU39" i="2"/>
  <c r="AW39" i="2"/>
  <c r="BA39" i="2"/>
  <c r="BC39" i="2"/>
  <c r="Q39" i="2"/>
  <c r="S39" i="2"/>
  <c r="K39" i="2"/>
  <c r="M39" i="2"/>
  <c r="N39" i="2" s="1"/>
  <c r="AO39" i="2"/>
  <c r="AQ39" i="2"/>
  <c r="AA38" i="2"/>
  <c r="AB38" i="2" s="1"/>
  <c r="BE38" i="2"/>
  <c r="BF38" i="2" s="1"/>
  <c r="L38" i="2"/>
  <c r="O38" i="2"/>
  <c r="P38" i="2" s="1"/>
  <c r="U38" i="2"/>
  <c r="V38" i="2" s="1"/>
  <c r="AY38" i="2"/>
  <c r="AZ38" i="2" s="1"/>
  <c r="AI39" i="2"/>
  <c r="AK39" i="2"/>
  <c r="W39" i="2"/>
  <c r="Y39" i="2"/>
  <c r="D27" i="3" l="1"/>
  <c r="E27" i="3" s="1"/>
  <c r="E22" i="22" s="1"/>
  <c r="A36" i="19"/>
  <c r="K35" i="19"/>
  <c r="I35" i="19"/>
  <c r="J35" i="19"/>
  <c r="L35" i="19"/>
  <c r="B35" i="19"/>
  <c r="F35" i="19"/>
  <c r="C35" i="19"/>
  <c r="D35" i="19"/>
  <c r="H35" i="19"/>
  <c r="E35" i="19"/>
  <c r="AA126" i="12"/>
  <c r="AC126" i="12" s="1"/>
  <c r="AD126" i="12" s="1"/>
  <c r="AA126" i="10"/>
  <c r="AC126" i="10" s="1"/>
  <c r="AD126" i="10" s="1"/>
  <c r="AA126" i="3"/>
  <c r="AC126" i="3" s="1"/>
  <c r="AD126" i="3" s="1"/>
  <c r="O126" i="12"/>
  <c r="Q126" i="12" s="1"/>
  <c r="R126" i="12" s="1"/>
  <c r="O126" i="10"/>
  <c r="Q126" i="10" s="1"/>
  <c r="R126" i="10" s="1"/>
  <c r="O126" i="3"/>
  <c r="Q126" i="3" s="1"/>
  <c r="R126" i="3" s="1"/>
  <c r="L28" i="10"/>
  <c r="M28" i="10" s="1"/>
  <c r="N28" i="10" s="1"/>
  <c r="AQ29" i="10"/>
  <c r="K29" i="10"/>
  <c r="C29" i="10"/>
  <c r="S29" i="10"/>
  <c r="BG29" i="10"/>
  <c r="AA29" i="10"/>
  <c r="AI29" i="10"/>
  <c r="AY29" i="10"/>
  <c r="G126" i="12"/>
  <c r="I126" i="12" s="1"/>
  <c r="J126" i="12" s="1"/>
  <c r="G126" i="10"/>
  <c r="I126" i="10" s="1"/>
  <c r="J126" i="10" s="1"/>
  <c r="G126" i="3"/>
  <c r="I126" i="3" s="1"/>
  <c r="J126" i="3" s="1"/>
  <c r="K126" i="12"/>
  <c r="M126" i="12" s="1"/>
  <c r="N126" i="12" s="1"/>
  <c r="K126" i="10"/>
  <c r="M126" i="10" s="1"/>
  <c r="N126" i="10" s="1"/>
  <c r="K126" i="3"/>
  <c r="M126" i="3" s="1"/>
  <c r="N126" i="3" s="1"/>
  <c r="BC27" i="3"/>
  <c r="BD27" i="3" s="1"/>
  <c r="BE27" i="3" s="1"/>
  <c r="BC27" i="12"/>
  <c r="BD27" i="12" s="1"/>
  <c r="BE27" i="12" s="1"/>
  <c r="BF27" i="12" s="1"/>
  <c r="AB128" i="12" s="1"/>
  <c r="BC27" i="10"/>
  <c r="BD27" i="10" s="1"/>
  <c r="BE27" i="10" s="1"/>
  <c r="AM27" i="3"/>
  <c r="AN27" i="3" s="1"/>
  <c r="AO27" i="3" s="1"/>
  <c r="AM27" i="12"/>
  <c r="AN27" i="12" s="1"/>
  <c r="AO27" i="12" s="1"/>
  <c r="AP27" i="12" s="1"/>
  <c r="T128" i="12" s="1"/>
  <c r="AM27" i="10"/>
  <c r="AN27" i="10" s="1"/>
  <c r="AO27" i="10" s="1"/>
  <c r="AP27" i="10" s="1"/>
  <c r="T128" i="10" s="1"/>
  <c r="W126" i="12"/>
  <c r="Y126" i="12" s="1"/>
  <c r="Z126" i="12" s="1"/>
  <c r="W126" i="10"/>
  <c r="Y126" i="10" s="1"/>
  <c r="Z126" i="10" s="1"/>
  <c r="W126" i="3"/>
  <c r="Y126" i="3" s="1"/>
  <c r="Z126" i="3" s="1"/>
  <c r="G29" i="12"/>
  <c r="H29" i="12" s="1"/>
  <c r="I29" i="12" s="1"/>
  <c r="G29" i="10"/>
  <c r="H29" i="10" s="1"/>
  <c r="I29" i="10" s="1"/>
  <c r="AU29" i="12"/>
  <c r="AV29" i="12" s="1"/>
  <c r="AW29" i="12" s="1"/>
  <c r="AU29" i="10"/>
  <c r="AV29" i="10" s="1"/>
  <c r="AW29" i="10" s="1"/>
  <c r="A30" i="12"/>
  <c r="A30" i="10"/>
  <c r="D28" i="10"/>
  <c r="E28" i="10" s="1"/>
  <c r="AJ28" i="10"/>
  <c r="AK28" i="10" s="1"/>
  <c r="AL28" i="10" s="1"/>
  <c r="N27" i="12"/>
  <c r="BF27" i="10"/>
  <c r="AB128" i="10" s="1"/>
  <c r="AQ29" i="12"/>
  <c r="C29" i="12"/>
  <c r="AI29" i="12"/>
  <c r="AY29" i="12"/>
  <c r="K29" i="12"/>
  <c r="AA29" i="12"/>
  <c r="BG29" i="12"/>
  <c r="S29" i="12"/>
  <c r="T28" i="12"/>
  <c r="U28" i="12" s="1"/>
  <c r="V28" i="12" s="1"/>
  <c r="AJ28" i="12"/>
  <c r="AK28" i="12" s="1"/>
  <c r="AL28" i="12" s="1"/>
  <c r="W27" i="3"/>
  <c r="X27" i="3" s="1"/>
  <c r="Y27" i="3" s="1"/>
  <c r="W27" i="12"/>
  <c r="X27" i="12" s="1"/>
  <c r="Y27" i="12" s="1"/>
  <c r="Z27" i="12" s="1"/>
  <c r="L128" i="12" s="1"/>
  <c r="W27" i="10"/>
  <c r="X27" i="10" s="1"/>
  <c r="Y27" i="10" s="1"/>
  <c r="AU27" i="3"/>
  <c r="AV27" i="3" s="1"/>
  <c r="AW27" i="3" s="1"/>
  <c r="AU27" i="12"/>
  <c r="AV27" i="12" s="1"/>
  <c r="AW27" i="12" s="1"/>
  <c r="AX27" i="12" s="1"/>
  <c r="X128" i="12" s="1"/>
  <c r="AU27" i="10"/>
  <c r="AV27" i="10" s="1"/>
  <c r="AW27" i="10" s="1"/>
  <c r="AX27" i="10" s="1"/>
  <c r="X128" i="10" s="1"/>
  <c r="AE29" i="12"/>
  <c r="AF29" i="12" s="1"/>
  <c r="AG29" i="12" s="1"/>
  <c r="AE29" i="10"/>
  <c r="AF29" i="10" s="1"/>
  <c r="AG29" i="10" s="1"/>
  <c r="AR28" i="12"/>
  <c r="AS28" i="12" s="1"/>
  <c r="AT28" i="12" s="1"/>
  <c r="L28" i="12"/>
  <c r="M28" i="12" s="1"/>
  <c r="N28" i="12" s="1"/>
  <c r="C126" i="12"/>
  <c r="E126" i="12" s="1"/>
  <c r="F126" i="12" s="1"/>
  <c r="C126" i="10"/>
  <c r="E126" i="10" s="1"/>
  <c r="F126" i="10" s="1"/>
  <c r="C126" i="3"/>
  <c r="E126" i="3" s="1"/>
  <c r="F126" i="3" s="1"/>
  <c r="AE27" i="3"/>
  <c r="AF27" i="3" s="1"/>
  <c r="AG27" i="3" s="1"/>
  <c r="AE27" i="12"/>
  <c r="AF27" i="12" s="1"/>
  <c r="AG27" i="12" s="1"/>
  <c r="AH27" i="12" s="1"/>
  <c r="P128" i="12" s="1"/>
  <c r="AE27" i="10"/>
  <c r="AF27" i="10" s="1"/>
  <c r="AG27" i="10" s="1"/>
  <c r="AH27" i="10" s="1"/>
  <c r="P128" i="10" s="1"/>
  <c r="S126" i="12"/>
  <c r="U126" i="12" s="1"/>
  <c r="V126" i="12" s="1"/>
  <c r="S126" i="10"/>
  <c r="U126" i="10" s="1"/>
  <c r="V126" i="10" s="1"/>
  <c r="S126" i="3"/>
  <c r="U126" i="3" s="1"/>
  <c r="V126" i="3" s="1"/>
  <c r="AM29" i="12"/>
  <c r="AN29" i="12" s="1"/>
  <c r="AO29" i="12" s="1"/>
  <c r="AM29" i="10"/>
  <c r="AN29" i="10" s="1"/>
  <c r="AO29" i="10" s="1"/>
  <c r="BK29" i="12"/>
  <c r="BL29" i="12" s="1"/>
  <c r="BM29" i="12" s="1"/>
  <c r="BK29" i="10"/>
  <c r="BL29" i="10" s="1"/>
  <c r="BM29" i="10" s="1"/>
  <c r="AB28" i="10"/>
  <c r="AC28" i="10" s="1"/>
  <c r="AD28" i="10" s="1"/>
  <c r="AZ28" i="10"/>
  <c r="BA28" i="10" s="1"/>
  <c r="BB28" i="10" s="1"/>
  <c r="AD27" i="10"/>
  <c r="V27" i="12"/>
  <c r="F27" i="10"/>
  <c r="BH28" i="12"/>
  <c r="BI28" i="12" s="1"/>
  <c r="D28" i="12"/>
  <c r="E28" i="12" s="1"/>
  <c r="F28" i="12" s="1"/>
  <c r="AE126" i="12"/>
  <c r="AG126" i="12" s="1"/>
  <c r="AH126" i="12" s="1"/>
  <c r="AE126" i="10"/>
  <c r="AG126" i="10" s="1"/>
  <c r="AH126" i="10" s="1"/>
  <c r="AE126" i="3"/>
  <c r="AG126" i="3" s="1"/>
  <c r="AH126" i="3" s="1"/>
  <c r="G27" i="3"/>
  <c r="H27" i="3" s="1"/>
  <c r="I27" i="3" s="1"/>
  <c r="J27" i="3" s="1"/>
  <c r="D128" i="3" s="1"/>
  <c r="G27" i="12"/>
  <c r="H27" i="12" s="1"/>
  <c r="I27" i="12" s="1"/>
  <c r="J27" i="12" s="1"/>
  <c r="D128" i="12" s="1"/>
  <c r="G27" i="10"/>
  <c r="H27" i="10" s="1"/>
  <c r="I27" i="10" s="1"/>
  <c r="J27" i="10" s="1"/>
  <c r="D128" i="10" s="1"/>
  <c r="O29" i="12"/>
  <c r="P29" i="12" s="1"/>
  <c r="Q29" i="12" s="1"/>
  <c r="O29" i="10"/>
  <c r="P29" i="10" s="1"/>
  <c r="Q29" i="10" s="1"/>
  <c r="BH28" i="10"/>
  <c r="BI28" i="10" s="1"/>
  <c r="BJ28" i="10" s="1"/>
  <c r="Z27" i="10"/>
  <c r="L128" i="10" s="1"/>
  <c r="BK27" i="3"/>
  <c r="BL27" i="3" s="1"/>
  <c r="BM27" i="3" s="1"/>
  <c r="BN27" i="3" s="1"/>
  <c r="AF128" i="3" s="1"/>
  <c r="BK27" i="12"/>
  <c r="BL27" i="12" s="1"/>
  <c r="BM27" i="12" s="1"/>
  <c r="BN27" i="12" s="1"/>
  <c r="AF128" i="12" s="1"/>
  <c r="BK27" i="10"/>
  <c r="BL27" i="10" s="1"/>
  <c r="BM27" i="10" s="1"/>
  <c r="BN27" i="10" s="1"/>
  <c r="AF128" i="10" s="1"/>
  <c r="O27" i="3"/>
  <c r="P27" i="3" s="1"/>
  <c r="Q27" i="3" s="1"/>
  <c r="O27" i="12"/>
  <c r="P27" i="12" s="1"/>
  <c r="Q27" i="12" s="1"/>
  <c r="R27" i="12" s="1"/>
  <c r="H128" i="12" s="1"/>
  <c r="O27" i="10"/>
  <c r="P27" i="10" s="1"/>
  <c r="Q27" i="10" s="1"/>
  <c r="R27" i="10" s="1"/>
  <c r="H128" i="10" s="1"/>
  <c r="W29" i="12"/>
  <c r="X29" i="12" s="1"/>
  <c r="Y29" i="12" s="1"/>
  <c r="W29" i="10"/>
  <c r="X29" i="10" s="1"/>
  <c r="Y29" i="10" s="1"/>
  <c r="BC29" i="12"/>
  <c r="BD29" i="12" s="1"/>
  <c r="BE29" i="12" s="1"/>
  <c r="BC29" i="10"/>
  <c r="BD29" i="10" s="1"/>
  <c r="BE29" i="10" s="1"/>
  <c r="T28" i="10"/>
  <c r="U28" i="10" s="1"/>
  <c r="AR28" i="10"/>
  <c r="AS28" i="10" s="1"/>
  <c r="AT28" i="10" s="1"/>
  <c r="V27" i="10"/>
  <c r="AZ28" i="12"/>
  <c r="BA28" i="12" s="1"/>
  <c r="AB28" i="12"/>
  <c r="AC28" i="12" s="1"/>
  <c r="AD28" i="12" s="1"/>
  <c r="BJ28" i="3"/>
  <c r="AH26" i="3"/>
  <c r="P127" i="3" s="1"/>
  <c r="N26" i="3"/>
  <c r="Z26" i="3"/>
  <c r="L127" i="3" s="1"/>
  <c r="AT26" i="3"/>
  <c r="BJ27" i="3"/>
  <c r="AL26" i="3"/>
  <c r="V26" i="3"/>
  <c r="AM29" i="3"/>
  <c r="AN29" i="3" s="1"/>
  <c r="AO29" i="3" s="1"/>
  <c r="AI42" i="2"/>
  <c r="AK42" i="2"/>
  <c r="BK29" i="3"/>
  <c r="BL29" i="3" s="1"/>
  <c r="BM29" i="3" s="1"/>
  <c r="BA42" i="2"/>
  <c r="BC42" i="2"/>
  <c r="W29" i="3"/>
  <c r="X29" i="3" s="1"/>
  <c r="Y29" i="3" s="1"/>
  <c r="W42" i="2"/>
  <c r="Y42" i="2"/>
  <c r="BC29" i="3"/>
  <c r="BD29" i="3" s="1"/>
  <c r="BE29" i="3" s="1"/>
  <c r="AU42" i="2"/>
  <c r="AW42" i="2"/>
  <c r="F27" i="3"/>
  <c r="O29" i="3"/>
  <c r="P29" i="3" s="1"/>
  <c r="Q29" i="3" s="1"/>
  <c r="Q42" i="2"/>
  <c r="S42" i="2"/>
  <c r="AE29" i="3"/>
  <c r="AF29" i="3" s="1"/>
  <c r="AG29" i="3" s="1"/>
  <c r="AC42" i="2"/>
  <c r="AE42" i="2"/>
  <c r="C29" i="3"/>
  <c r="K29" i="3"/>
  <c r="S29" i="3"/>
  <c r="AI29" i="3"/>
  <c r="AY29" i="3"/>
  <c r="AA29" i="3"/>
  <c r="BG29" i="3"/>
  <c r="AQ29" i="3"/>
  <c r="G29" i="3"/>
  <c r="H29" i="3" s="1"/>
  <c r="I29" i="3" s="1"/>
  <c r="K42" i="2"/>
  <c r="M42" i="2"/>
  <c r="N42" i="2" s="1"/>
  <c r="AU29" i="3"/>
  <c r="AV29" i="3" s="1"/>
  <c r="AW29" i="3" s="1"/>
  <c r="AO42" i="2"/>
  <c r="AQ42" i="2"/>
  <c r="A44" i="2"/>
  <c r="A30" i="3"/>
  <c r="H43" i="2"/>
  <c r="I43" i="2"/>
  <c r="G43" i="2"/>
  <c r="F43" i="2"/>
  <c r="D43" i="2"/>
  <c r="C43" i="2"/>
  <c r="E43" i="2"/>
  <c r="B43" i="2"/>
  <c r="R26" i="3"/>
  <c r="H127" i="3" s="1"/>
  <c r="AZ27" i="3"/>
  <c r="BA27" i="3" s="1"/>
  <c r="AD26" i="3"/>
  <c r="AR27" i="3"/>
  <c r="AS27" i="3" s="1"/>
  <c r="AP26" i="3"/>
  <c r="T127" i="3" s="1"/>
  <c r="AX26" i="3"/>
  <c r="X127" i="3" s="1"/>
  <c r="AJ27" i="3"/>
  <c r="AK27" i="3" s="1"/>
  <c r="T27" i="3"/>
  <c r="U27" i="3" s="1"/>
  <c r="AB27" i="3"/>
  <c r="AC27" i="3" s="1"/>
  <c r="C28" i="3"/>
  <c r="AI28" i="3"/>
  <c r="S28" i="3"/>
  <c r="K28" i="3"/>
  <c r="AQ28" i="3"/>
  <c r="AY28" i="3"/>
  <c r="AZ28" i="3" s="1"/>
  <c r="BA28" i="3" s="1"/>
  <c r="AA28" i="3"/>
  <c r="L27" i="3"/>
  <c r="M27" i="3" s="1"/>
  <c r="BG38" i="2"/>
  <c r="AM39" i="2"/>
  <c r="AN39" i="2" s="1"/>
  <c r="AS39" i="2"/>
  <c r="AT39" i="2" s="1"/>
  <c r="U39" i="2"/>
  <c r="V39" i="2" s="1"/>
  <c r="AY39" i="2"/>
  <c r="AZ39" i="2" s="1"/>
  <c r="BA40" i="2"/>
  <c r="BC40" i="2"/>
  <c r="Q40" i="2"/>
  <c r="S40" i="2"/>
  <c r="W40" i="2"/>
  <c r="Y40" i="2"/>
  <c r="K40" i="2"/>
  <c r="M40" i="2"/>
  <c r="N40" i="2" s="1"/>
  <c r="AO40" i="2"/>
  <c r="AQ40" i="2"/>
  <c r="AA39" i="2"/>
  <c r="AB39" i="2" s="1"/>
  <c r="L39" i="2"/>
  <c r="O39" i="2"/>
  <c r="P39" i="2" s="1"/>
  <c r="BE39" i="2"/>
  <c r="BF39" i="2" s="1"/>
  <c r="AU40" i="2"/>
  <c r="AW40" i="2"/>
  <c r="AI40" i="2"/>
  <c r="AK40" i="2"/>
  <c r="AC40" i="2"/>
  <c r="AE40" i="2"/>
  <c r="F41" i="2"/>
  <c r="B41" i="2"/>
  <c r="I41" i="2"/>
  <c r="E41" i="2"/>
  <c r="H41" i="2"/>
  <c r="D41" i="2"/>
  <c r="G41" i="2"/>
  <c r="C41" i="2"/>
  <c r="AG39" i="2"/>
  <c r="AH39" i="2" s="1"/>
  <c r="D28" i="3" l="1"/>
  <c r="E28" i="3" s="1"/>
  <c r="E23" i="22" s="1"/>
  <c r="A37" i="19"/>
  <c r="J36" i="19"/>
  <c r="H36" i="19"/>
  <c r="L36" i="19"/>
  <c r="I36" i="19"/>
  <c r="E36" i="19"/>
  <c r="K36" i="19"/>
  <c r="B36" i="19"/>
  <c r="F36" i="19"/>
  <c r="C36" i="19"/>
  <c r="D36" i="19"/>
  <c r="O28" i="3"/>
  <c r="P28" i="3" s="1"/>
  <c r="Q28" i="3" s="1"/>
  <c r="O28" i="12"/>
  <c r="P28" i="12" s="1"/>
  <c r="Q28" i="12" s="1"/>
  <c r="R28" i="12" s="1"/>
  <c r="H129" i="12" s="1"/>
  <c r="O28" i="10"/>
  <c r="P28" i="10" s="1"/>
  <c r="Q28" i="10" s="1"/>
  <c r="R28" i="10" s="1"/>
  <c r="H129" i="10" s="1"/>
  <c r="AA127" i="12"/>
  <c r="AC127" i="12" s="1"/>
  <c r="AD127" i="12" s="1"/>
  <c r="AA127" i="10"/>
  <c r="AC127" i="10" s="1"/>
  <c r="AD127" i="10" s="1"/>
  <c r="AA127" i="3"/>
  <c r="AC127" i="3" s="1"/>
  <c r="AD127" i="3" s="1"/>
  <c r="AU30" i="12"/>
  <c r="AV30" i="12" s="1"/>
  <c r="AW30" i="12" s="1"/>
  <c r="AU30" i="10"/>
  <c r="AV30" i="10" s="1"/>
  <c r="AW30" i="10" s="1"/>
  <c r="L29" i="12"/>
  <c r="M29" i="12" s="1"/>
  <c r="R29" i="12" s="1"/>
  <c r="H130" i="12" s="1"/>
  <c r="L29" i="10"/>
  <c r="M29" i="10" s="1"/>
  <c r="N29" i="10" s="1"/>
  <c r="AU28" i="3"/>
  <c r="AV28" i="3" s="1"/>
  <c r="AW28" i="3" s="1"/>
  <c r="AU28" i="12"/>
  <c r="AV28" i="12" s="1"/>
  <c r="AW28" i="12" s="1"/>
  <c r="AX28" i="12" s="1"/>
  <c r="X129" i="12" s="1"/>
  <c r="AU28" i="10"/>
  <c r="AV28" i="10" s="1"/>
  <c r="AW28" i="10" s="1"/>
  <c r="AX28" i="10" s="1"/>
  <c r="X129" i="10" s="1"/>
  <c r="BK28" i="3"/>
  <c r="BL28" i="3" s="1"/>
  <c r="BM28" i="3" s="1"/>
  <c r="BN28" i="3" s="1"/>
  <c r="AF129" i="3" s="1"/>
  <c r="BK28" i="12"/>
  <c r="BL28" i="12" s="1"/>
  <c r="BM28" i="12" s="1"/>
  <c r="BN28" i="12" s="1"/>
  <c r="AF129" i="12" s="1"/>
  <c r="BK28" i="10"/>
  <c r="BL28" i="10" s="1"/>
  <c r="BM28" i="10" s="1"/>
  <c r="BN28" i="10" s="1"/>
  <c r="AF129" i="10" s="1"/>
  <c r="K127" i="12"/>
  <c r="M127" i="12" s="1"/>
  <c r="N127" i="12" s="1"/>
  <c r="K127" i="10"/>
  <c r="M127" i="10" s="1"/>
  <c r="N127" i="10" s="1"/>
  <c r="K127" i="3"/>
  <c r="G127" i="12"/>
  <c r="I127" i="12" s="1"/>
  <c r="J127" i="12" s="1"/>
  <c r="G127" i="10"/>
  <c r="I127" i="10" s="1"/>
  <c r="J127" i="10" s="1"/>
  <c r="G127" i="3"/>
  <c r="I127" i="3" s="1"/>
  <c r="J127" i="3" s="1"/>
  <c r="O30" i="12"/>
  <c r="P30" i="12" s="1"/>
  <c r="Q30" i="12" s="1"/>
  <c r="O30" i="10"/>
  <c r="P30" i="10" s="1"/>
  <c r="Q30" i="10" s="1"/>
  <c r="BK30" i="12"/>
  <c r="BL30" i="12" s="1"/>
  <c r="BM30" i="12" s="1"/>
  <c r="BK30" i="10"/>
  <c r="BL30" i="10" s="1"/>
  <c r="BM30" i="10" s="1"/>
  <c r="T29" i="12"/>
  <c r="U29" i="12" s="1"/>
  <c r="Z29" i="12" s="1"/>
  <c r="L130" i="12" s="1"/>
  <c r="V29" i="12"/>
  <c r="AZ29" i="12"/>
  <c r="BA29" i="12" s="1"/>
  <c r="BF29" i="12" s="1"/>
  <c r="AB130" i="12" s="1"/>
  <c r="K30" i="10"/>
  <c r="C30" i="10"/>
  <c r="AY30" i="10"/>
  <c r="S30" i="10"/>
  <c r="AA30" i="10"/>
  <c r="AQ30" i="10"/>
  <c r="AI30" i="10"/>
  <c r="BG30" i="10"/>
  <c r="BH29" i="10"/>
  <c r="BI29" i="10" s="1"/>
  <c r="BN29" i="10" s="1"/>
  <c r="AF130" i="10" s="1"/>
  <c r="AR29" i="10"/>
  <c r="AS29" i="10" s="1"/>
  <c r="AX29" i="10" s="1"/>
  <c r="X130" i="10" s="1"/>
  <c r="AR29" i="12"/>
  <c r="AS29" i="12" s="1"/>
  <c r="AX29" i="12" s="1"/>
  <c r="X130" i="12" s="1"/>
  <c r="AB29" i="10"/>
  <c r="AC29" i="10" s="1"/>
  <c r="AD29" i="10" s="1"/>
  <c r="W28" i="3"/>
  <c r="X28" i="3" s="1"/>
  <c r="Y28" i="3" s="1"/>
  <c r="W28" i="12"/>
  <c r="X28" i="12" s="1"/>
  <c r="Y28" i="12" s="1"/>
  <c r="W28" i="10"/>
  <c r="X28" i="10" s="1"/>
  <c r="Y28" i="10" s="1"/>
  <c r="Z28" i="10" s="1"/>
  <c r="L129" i="10" s="1"/>
  <c r="G28" i="3"/>
  <c r="H28" i="3" s="1"/>
  <c r="I28" i="3" s="1"/>
  <c r="J28" i="3" s="1"/>
  <c r="D129" i="3" s="1"/>
  <c r="G28" i="12"/>
  <c r="H28" i="12" s="1"/>
  <c r="I28" i="12" s="1"/>
  <c r="J28" i="12" s="1"/>
  <c r="D129" i="12" s="1"/>
  <c r="G28" i="10"/>
  <c r="H28" i="10" s="1"/>
  <c r="I28" i="10" s="1"/>
  <c r="J28" i="10" s="1"/>
  <c r="D129" i="10" s="1"/>
  <c r="AE127" i="12"/>
  <c r="AG127" i="12" s="1"/>
  <c r="AH127" i="12" s="1"/>
  <c r="AE127" i="10"/>
  <c r="AG127" i="10" s="1"/>
  <c r="AH127" i="10" s="1"/>
  <c r="AE127" i="3"/>
  <c r="AG127" i="3" s="1"/>
  <c r="AH127" i="3" s="1"/>
  <c r="W127" i="12"/>
  <c r="Y127" i="12" s="1"/>
  <c r="Z127" i="12" s="1"/>
  <c r="W127" i="10"/>
  <c r="Y127" i="10" s="1"/>
  <c r="Z127" i="10" s="1"/>
  <c r="W127" i="3"/>
  <c r="Y127" i="3" s="1"/>
  <c r="Z127" i="3" s="1"/>
  <c r="W30" i="12"/>
  <c r="X30" i="12" s="1"/>
  <c r="Y30" i="12" s="1"/>
  <c r="W30" i="10"/>
  <c r="X30" i="10" s="1"/>
  <c r="Y30" i="10" s="1"/>
  <c r="BC30" i="12"/>
  <c r="BD30" i="12" s="1"/>
  <c r="BE30" i="12" s="1"/>
  <c r="BC30" i="10"/>
  <c r="BD30" i="10" s="1"/>
  <c r="BE30" i="10" s="1"/>
  <c r="BB28" i="12"/>
  <c r="V28" i="10"/>
  <c r="BJ28" i="12"/>
  <c r="Z28" i="12"/>
  <c r="L129" i="12" s="1"/>
  <c r="BH29" i="12"/>
  <c r="BI29" i="12" s="1"/>
  <c r="BN29" i="12" s="1"/>
  <c r="AF130" i="12" s="1"/>
  <c r="AJ29" i="12"/>
  <c r="AK29" i="12" s="1"/>
  <c r="AL29" i="12" s="1"/>
  <c r="F28" i="10"/>
  <c r="AQ30" i="12"/>
  <c r="AA30" i="12"/>
  <c r="BG30" i="12"/>
  <c r="K30" i="12"/>
  <c r="C30" i="12"/>
  <c r="AI30" i="12"/>
  <c r="AY30" i="12"/>
  <c r="S30" i="12"/>
  <c r="AZ29" i="10"/>
  <c r="BA29" i="10" s="1"/>
  <c r="BF29" i="10" s="1"/>
  <c r="AB130" i="10" s="1"/>
  <c r="T29" i="10"/>
  <c r="U29" i="10" s="1"/>
  <c r="Z29" i="10" s="1"/>
  <c r="L130" i="10" s="1"/>
  <c r="AE28" i="3"/>
  <c r="AF28" i="3" s="1"/>
  <c r="AG28" i="3" s="1"/>
  <c r="AE28" i="12"/>
  <c r="AF28" i="12" s="1"/>
  <c r="AG28" i="12" s="1"/>
  <c r="AH28" i="12" s="1"/>
  <c r="P129" i="12" s="1"/>
  <c r="AE28" i="10"/>
  <c r="AF28" i="10" s="1"/>
  <c r="AG28" i="10" s="1"/>
  <c r="AH28" i="10" s="1"/>
  <c r="P129" i="10" s="1"/>
  <c r="AE30" i="12"/>
  <c r="AF30" i="12" s="1"/>
  <c r="AG30" i="12" s="1"/>
  <c r="AE30" i="10"/>
  <c r="AF30" i="10" s="1"/>
  <c r="AG30" i="10" s="1"/>
  <c r="A31" i="12"/>
  <c r="A31" i="10"/>
  <c r="O127" i="12"/>
  <c r="Q127" i="12" s="1"/>
  <c r="R127" i="12" s="1"/>
  <c r="O127" i="10"/>
  <c r="Q127" i="10" s="1"/>
  <c r="R127" i="10" s="1"/>
  <c r="O127" i="3"/>
  <c r="Q127" i="3" s="1"/>
  <c r="R127" i="3" s="1"/>
  <c r="BC28" i="3"/>
  <c r="BD28" i="3" s="1"/>
  <c r="BE28" i="3" s="1"/>
  <c r="BF28" i="3" s="1"/>
  <c r="AB129" i="3" s="1"/>
  <c r="BC28" i="12"/>
  <c r="BD28" i="12" s="1"/>
  <c r="BE28" i="12" s="1"/>
  <c r="BF28" i="12" s="1"/>
  <c r="AB129" i="12" s="1"/>
  <c r="BC28" i="10"/>
  <c r="BD28" i="10" s="1"/>
  <c r="BE28" i="10" s="1"/>
  <c r="BF28" i="10" s="1"/>
  <c r="AB129" i="10" s="1"/>
  <c r="AM28" i="3"/>
  <c r="AN28" i="3" s="1"/>
  <c r="AO28" i="3" s="1"/>
  <c r="AM28" i="12"/>
  <c r="AN28" i="12" s="1"/>
  <c r="AO28" i="12" s="1"/>
  <c r="AP28" i="12" s="1"/>
  <c r="T129" i="12" s="1"/>
  <c r="AM28" i="10"/>
  <c r="AN28" i="10" s="1"/>
  <c r="AO28" i="10" s="1"/>
  <c r="AP28" i="10" s="1"/>
  <c r="T129" i="10" s="1"/>
  <c r="C127" i="12"/>
  <c r="E127" i="12" s="1"/>
  <c r="F127" i="12" s="1"/>
  <c r="C127" i="10"/>
  <c r="E127" i="10" s="1"/>
  <c r="F127" i="10" s="1"/>
  <c r="C127" i="3"/>
  <c r="E127" i="3" s="1"/>
  <c r="F127" i="3" s="1"/>
  <c r="S127" i="12"/>
  <c r="U127" i="12" s="1"/>
  <c r="V127" i="12" s="1"/>
  <c r="S127" i="10"/>
  <c r="U127" i="10" s="1"/>
  <c r="V127" i="10" s="1"/>
  <c r="S127" i="3"/>
  <c r="U127" i="3" s="1"/>
  <c r="V127" i="3" s="1"/>
  <c r="G30" i="12"/>
  <c r="H30" i="12" s="1"/>
  <c r="I30" i="12" s="1"/>
  <c r="G30" i="10"/>
  <c r="H30" i="10" s="1"/>
  <c r="I30" i="10" s="1"/>
  <c r="AM30" i="12"/>
  <c r="AN30" i="12" s="1"/>
  <c r="AO30" i="12" s="1"/>
  <c r="AM30" i="10"/>
  <c r="AN30" i="10" s="1"/>
  <c r="AO30" i="10" s="1"/>
  <c r="M127" i="3"/>
  <c r="N127" i="3" s="1"/>
  <c r="AB29" i="12"/>
  <c r="AC29" i="12" s="1"/>
  <c r="AH29" i="12" s="1"/>
  <c r="P130" i="12" s="1"/>
  <c r="D29" i="12"/>
  <c r="E29" i="12" s="1"/>
  <c r="J29" i="12" s="1"/>
  <c r="D130" i="12" s="1"/>
  <c r="AJ29" i="10"/>
  <c r="AK29" i="10" s="1"/>
  <c r="AP29" i="10" s="1"/>
  <c r="T130" i="10" s="1"/>
  <c r="D29" i="10"/>
  <c r="E29" i="10" s="1"/>
  <c r="F29" i="10" s="1"/>
  <c r="AX27" i="3"/>
  <c r="X128" i="3" s="1"/>
  <c r="BB28" i="3"/>
  <c r="AL27" i="3"/>
  <c r="V27" i="3"/>
  <c r="BB27" i="3"/>
  <c r="N27" i="3"/>
  <c r="AH27" i="3"/>
  <c r="P128" i="3" s="1"/>
  <c r="U42" i="2"/>
  <c r="V42" i="2" s="1"/>
  <c r="AT27" i="3"/>
  <c r="AM42" i="2"/>
  <c r="AN42" i="2" s="1"/>
  <c r="AG42" i="2"/>
  <c r="AH42" i="2" s="1"/>
  <c r="AA42" i="2"/>
  <c r="AB42" i="2" s="1"/>
  <c r="AM30" i="3"/>
  <c r="AN30" i="3" s="1"/>
  <c r="AO30" i="3" s="1"/>
  <c r="AI43" i="2"/>
  <c r="AK43" i="2"/>
  <c r="C30" i="3"/>
  <c r="AI30" i="3"/>
  <c r="AQ30" i="3"/>
  <c r="K30" i="3"/>
  <c r="AY30" i="3"/>
  <c r="AA30" i="3"/>
  <c r="BG30" i="3"/>
  <c r="S30" i="3"/>
  <c r="AE30" i="3"/>
  <c r="AF30" i="3" s="1"/>
  <c r="AG30" i="3" s="1"/>
  <c r="AC43" i="2"/>
  <c r="AE43" i="2"/>
  <c r="AU30" i="3"/>
  <c r="AV30" i="3" s="1"/>
  <c r="AW30" i="3" s="1"/>
  <c r="AO43" i="2"/>
  <c r="AQ43" i="2"/>
  <c r="A45" i="2"/>
  <c r="A31" i="3"/>
  <c r="G44" i="2"/>
  <c r="H44" i="2"/>
  <c r="I44" i="2"/>
  <c r="E44" i="2"/>
  <c r="F44" i="2"/>
  <c r="C44" i="2"/>
  <c r="D44" i="2"/>
  <c r="B44" i="2"/>
  <c r="BH29" i="3"/>
  <c r="BI29" i="3" s="1"/>
  <c r="T29" i="3"/>
  <c r="U29" i="3" s="1"/>
  <c r="AY42" i="2"/>
  <c r="AZ42" i="2" s="1"/>
  <c r="BK30" i="3"/>
  <c r="BL30" i="3" s="1"/>
  <c r="BM30" i="3" s="1"/>
  <c r="BA43" i="2"/>
  <c r="BC43" i="2"/>
  <c r="O42" i="2"/>
  <c r="P42" i="2" s="1"/>
  <c r="L42" i="2"/>
  <c r="AB29" i="3"/>
  <c r="AC29" i="3" s="1"/>
  <c r="L29" i="3"/>
  <c r="M29" i="3" s="1"/>
  <c r="O30" i="3"/>
  <c r="P30" i="3" s="1"/>
  <c r="Q30" i="3" s="1"/>
  <c r="Q43" i="2"/>
  <c r="S43" i="2"/>
  <c r="W30" i="3"/>
  <c r="X30" i="3" s="1"/>
  <c r="Y30" i="3" s="1"/>
  <c r="W43" i="2"/>
  <c r="Y43" i="2"/>
  <c r="BC30" i="3"/>
  <c r="BD30" i="3" s="1"/>
  <c r="BE30" i="3" s="1"/>
  <c r="AU43" i="2"/>
  <c r="AW43" i="2"/>
  <c r="AS42" i="2"/>
  <c r="AT42" i="2" s="1"/>
  <c r="AZ29" i="3"/>
  <c r="BA29" i="3" s="1"/>
  <c r="D29" i="3"/>
  <c r="E29" i="3" s="1"/>
  <c r="E24" i="22" s="1"/>
  <c r="BE42" i="2"/>
  <c r="BF42" i="2" s="1"/>
  <c r="G30" i="3"/>
  <c r="H30" i="3" s="1"/>
  <c r="I30" i="3" s="1"/>
  <c r="K43" i="2"/>
  <c r="M43" i="2"/>
  <c r="N43" i="2" s="1"/>
  <c r="AR29" i="3"/>
  <c r="AS29" i="3" s="1"/>
  <c r="AJ29" i="3"/>
  <c r="AK29" i="3" s="1"/>
  <c r="BF27" i="3"/>
  <c r="AB128" i="3" s="1"/>
  <c r="R27" i="3"/>
  <c r="H128" i="3" s="1"/>
  <c r="AD27" i="3"/>
  <c r="Z27" i="3"/>
  <c r="L128" i="3" s="1"/>
  <c r="F28" i="3"/>
  <c r="AB28" i="3"/>
  <c r="AC28" i="3" s="1"/>
  <c r="T28" i="3"/>
  <c r="U28" i="3" s="1"/>
  <c r="AJ28" i="3"/>
  <c r="AK28" i="3" s="1"/>
  <c r="AR28" i="3"/>
  <c r="AS28" i="3" s="1"/>
  <c r="AP27" i="3"/>
  <c r="T128" i="3" s="1"/>
  <c r="L28" i="3"/>
  <c r="M28" i="3" s="1"/>
  <c r="AS40" i="2"/>
  <c r="AT40" i="2" s="1"/>
  <c r="AA40" i="2"/>
  <c r="AB40" i="2" s="1"/>
  <c r="BE40" i="2"/>
  <c r="BF40" i="2" s="1"/>
  <c r="BG39" i="2"/>
  <c r="AG40" i="2"/>
  <c r="AH40" i="2" s="1"/>
  <c r="AY40" i="2"/>
  <c r="AZ40" i="2" s="1"/>
  <c r="U40" i="2"/>
  <c r="V40" i="2" s="1"/>
  <c r="AU41" i="2"/>
  <c r="AW41" i="2"/>
  <c r="Q41" i="2"/>
  <c r="S41" i="2"/>
  <c r="AC41" i="2"/>
  <c r="AE41" i="2"/>
  <c r="AM40" i="2"/>
  <c r="AN40" i="2" s="1"/>
  <c r="AO41" i="2"/>
  <c r="AQ41" i="2"/>
  <c r="BA41" i="2"/>
  <c r="BC41" i="2"/>
  <c r="O40" i="2"/>
  <c r="P40" i="2" s="1"/>
  <c r="L40" i="2"/>
  <c r="K41" i="2"/>
  <c r="M41" i="2"/>
  <c r="N41" i="2" s="1"/>
  <c r="W41" i="2"/>
  <c r="Y41" i="2"/>
  <c r="AI41" i="2"/>
  <c r="AK41" i="2"/>
  <c r="AL29" i="10" l="1"/>
  <c r="A38" i="19"/>
  <c r="I37" i="19"/>
  <c r="K37" i="19"/>
  <c r="H37" i="19"/>
  <c r="L37" i="19"/>
  <c r="D37" i="19"/>
  <c r="E37" i="19"/>
  <c r="J37" i="19"/>
  <c r="B37" i="19"/>
  <c r="F37" i="19"/>
  <c r="C37" i="19"/>
  <c r="AH29" i="10"/>
  <c r="P130" i="10" s="1"/>
  <c r="V29" i="10"/>
  <c r="BB29" i="12"/>
  <c r="F29" i="12"/>
  <c r="AY43" i="2"/>
  <c r="AZ43" i="2" s="1"/>
  <c r="O31" i="12"/>
  <c r="P31" i="12" s="1"/>
  <c r="Q31" i="12" s="1"/>
  <c r="O31" i="10"/>
  <c r="P31" i="10" s="1"/>
  <c r="Q31" i="10" s="1"/>
  <c r="BC31" i="12"/>
  <c r="BD31" i="12" s="1"/>
  <c r="BE31" i="12" s="1"/>
  <c r="BC31" i="10"/>
  <c r="BD31" i="10" s="1"/>
  <c r="BE31" i="10" s="1"/>
  <c r="D30" i="12"/>
  <c r="E30" i="12" s="1"/>
  <c r="J30" i="12" s="1"/>
  <c r="D131" i="12" s="1"/>
  <c r="AR30" i="12"/>
  <c r="AS30" i="12" s="1"/>
  <c r="AT30" i="12" s="1"/>
  <c r="BH30" i="10"/>
  <c r="BI30" i="10" s="1"/>
  <c r="BN30" i="10" s="1"/>
  <c r="AF131" i="10" s="1"/>
  <c r="T30" i="10"/>
  <c r="U30" i="10" s="1"/>
  <c r="Z30" i="10" s="1"/>
  <c r="L131" i="10" s="1"/>
  <c r="C128" i="12"/>
  <c r="E128" i="12" s="1"/>
  <c r="F128" i="12" s="1"/>
  <c r="C128" i="10"/>
  <c r="E128" i="10" s="1"/>
  <c r="F128" i="10" s="1"/>
  <c r="C128" i="3"/>
  <c r="E128" i="3" s="1"/>
  <c r="F128" i="3" s="1"/>
  <c r="G128" i="12"/>
  <c r="I128" i="12" s="1"/>
  <c r="J128" i="12" s="1"/>
  <c r="G128" i="10"/>
  <c r="I128" i="10" s="1"/>
  <c r="J128" i="10" s="1"/>
  <c r="G128" i="3"/>
  <c r="I128" i="3" s="1"/>
  <c r="J128" i="3" s="1"/>
  <c r="AE128" i="12"/>
  <c r="AG128" i="12" s="1"/>
  <c r="AH128" i="12" s="1"/>
  <c r="AE128" i="10"/>
  <c r="AG128" i="10" s="1"/>
  <c r="AH128" i="10" s="1"/>
  <c r="AE128" i="3"/>
  <c r="AG128" i="3" s="1"/>
  <c r="AH128" i="3" s="1"/>
  <c r="AM31" i="12"/>
  <c r="AN31" i="12" s="1"/>
  <c r="AO31" i="12" s="1"/>
  <c r="AM31" i="10"/>
  <c r="AN31" i="10" s="1"/>
  <c r="AO31" i="10" s="1"/>
  <c r="AU31" i="12"/>
  <c r="AV31" i="12" s="1"/>
  <c r="AW31" i="12" s="1"/>
  <c r="AU31" i="10"/>
  <c r="AV31" i="10" s="1"/>
  <c r="AW31" i="10" s="1"/>
  <c r="K130" i="12"/>
  <c r="M130" i="12" s="1"/>
  <c r="N130" i="12" s="1"/>
  <c r="K130" i="10"/>
  <c r="M130" i="10" s="1"/>
  <c r="N130" i="10" s="1"/>
  <c r="K130" i="3"/>
  <c r="G130" i="12"/>
  <c r="I130" i="12" s="1"/>
  <c r="J130" i="12" s="1"/>
  <c r="G130" i="10"/>
  <c r="G130" i="3"/>
  <c r="J29" i="10"/>
  <c r="D130" i="10" s="1"/>
  <c r="AQ31" i="10"/>
  <c r="C31" i="10"/>
  <c r="AI31" i="10"/>
  <c r="S31" i="10"/>
  <c r="AY31" i="10"/>
  <c r="K31" i="10"/>
  <c r="BG31" i="10"/>
  <c r="AA31" i="10"/>
  <c r="T30" i="12"/>
  <c r="U30" i="12" s="1"/>
  <c r="Z30" i="12" s="1"/>
  <c r="L131" i="12" s="1"/>
  <c r="L30" i="12"/>
  <c r="M30" i="12" s="1"/>
  <c r="N30" i="12" s="1"/>
  <c r="BJ29" i="12"/>
  <c r="BJ29" i="10"/>
  <c r="AJ30" i="10"/>
  <c r="AK30" i="10" s="1"/>
  <c r="AP30" i="10" s="1"/>
  <c r="T131" i="10" s="1"/>
  <c r="AZ30" i="10"/>
  <c r="BA30" i="10" s="1"/>
  <c r="BB30" i="10" s="1"/>
  <c r="N29" i="12"/>
  <c r="O128" i="12"/>
  <c r="Q128" i="12" s="1"/>
  <c r="R128" i="12" s="1"/>
  <c r="O128" i="10"/>
  <c r="Q128" i="10" s="1"/>
  <c r="R128" i="10" s="1"/>
  <c r="O128" i="3"/>
  <c r="Q128" i="3" s="1"/>
  <c r="R128" i="3" s="1"/>
  <c r="S128" i="12"/>
  <c r="U128" i="12" s="1"/>
  <c r="V128" i="12" s="1"/>
  <c r="S128" i="10"/>
  <c r="U128" i="10" s="1"/>
  <c r="V128" i="10" s="1"/>
  <c r="S128" i="3"/>
  <c r="U128" i="3" s="1"/>
  <c r="V128" i="3" s="1"/>
  <c r="AA128" i="12"/>
  <c r="AC128" i="12" s="1"/>
  <c r="AD128" i="12" s="1"/>
  <c r="AA128" i="10"/>
  <c r="AC128" i="10" s="1"/>
  <c r="AD128" i="10" s="1"/>
  <c r="AA128" i="3"/>
  <c r="AC128" i="3" s="1"/>
  <c r="AD128" i="3" s="1"/>
  <c r="K128" i="12"/>
  <c r="M128" i="12" s="1"/>
  <c r="N128" i="12" s="1"/>
  <c r="K128" i="10"/>
  <c r="M128" i="10" s="1"/>
  <c r="N128" i="10" s="1"/>
  <c r="K128" i="3"/>
  <c r="M128" i="3" s="1"/>
  <c r="N128" i="3" s="1"/>
  <c r="W130" i="12"/>
  <c r="Y130" i="12" s="1"/>
  <c r="Z130" i="12" s="1"/>
  <c r="W130" i="10"/>
  <c r="Y130" i="10" s="1"/>
  <c r="Z130" i="10" s="1"/>
  <c r="W130" i="3"/>
  <c r="G31" i="12"/>
  <c r="H31" i="12" s="1"/>
  <c r="I31" i="12" s="1"/>
  <c r="G31" i="10"/>
  <c r="H31" i="10" s="1"/>
  <c r="I31" i="10" s="1"/>
  <c r="AE31" i="12"/>
  <c r="AF31" i="12" s="1"/>
  <c r="AG31" i="12" s="1"/>
  <c r="AE31" i="10"/>
  <c r="AF31" i="10" s="1"/>
  <c r="AG31" i="10" s="1"/>
  <c r="O130" i="12"/>
  <c r="Q130" i="12" s="1"/>
  <c r="R130" i="12" s="1"/>
  <c r="O130" i="10"/>
  <c r="Q130" i="10" s="1"/>
  <c r="R130" i="10" s="1"/>
  <c r="O130" i="3"/>
  <c r="AD29" i="12"/>
  <c r="BG31" i="12"/>
  <c r="K31" i="12"/>
  <c r="AA31" i="12"/>
  <c r="AI31" i="12"/>
  <c r="AQ31" i="12"/>
  <c r="C31" i="12"/>
  <c r="AY31" i="12"/>
  <c r="S31" i="12"/>
  <c r="AZ30" i="12"/>
  <c r="BA30" i="12" s="1"/>
  <c r="BF30" i="12" s="1"/>
  <c r="AB131" i="12" s="1"/>
  <c r="BH30" i="12"/>
  <c r="BI30" i="12" s="1"/>
  <c r="BN30" i="12" s="1"/>
  <c r="AF131" i="12" s="1"/>
  <c r="AP29" i="12"/>
  <c r="T130" i="12" s="1"/>
  <c r="AT29" i="12"/>
  <c r="AT29" i="10"/>
  <c r="AR30" i="10"/>
  <c r="AS30" i="10" s="1"/>
  <c r="AX30" i="10" s="1"/>
  <c r="X131" i="10" s="1"/>
  <c r="D30" i="10"/>
  <c r="E30" i="10" s="1"/>
  <c r="J30" i="10" s="1"/>
  <c r="D131" i="10" s="1"/>
  <c r="R29" i="10"/>
  <c r="H130" i="10" s="1"/>
  <c r="W128" i="12"/>
  <c r="Y128" i="12" s="1"/>
  <c r="Z128" i="12" s="1"/>
  <c r="W128" i="10"/>
  <c r="Y128" i="10" s="1"/>
  <c r="Z128" i="10" s="1"/>
  <c r="W128" i="3"/>
  <c r="Y128" i="3" s="1"/>
  <c r="Z128" i="3" s="1"/>
  <c r="AE130" i="12"/>
  <c r="AG130" i="12" s="1"/>
  <c r="AH130" i="12" s="1"/>
  <c r="AE130" i="10"/>
  <c r="AG130" i="10" s="1"/>
  <c r="AH130" i="10" s="1"/>
  <c r="AE130" i="3"/>
  <c r="C130" i="12"/>
  <c r="E130" i="12" s="1"/>
  <c r="F130" i="12" s="1"/>
  <c r="C130" i="10"/>
  <c r="C130" i="3"/>
  <c r="AA130" i="12"/>
  <c r="AC130" i="12" s="1"/>
  <c r="AD130" i="12" s="1"/>
  <c r="AA130" i="10"/>
  <c r="AC130" i="10" s="1"/>
  <c r="AD130" i="10" s="1"/>
  <c r="AA130" i="3"/>
  <c r="W31" i="12"/>
  <c r="X31" i="12" s="1"/>
  <c r="Y31" i="12" s="1"/>
  <c r="W31" i="10"/>
  <c r="X31" i="10" s="1"/>
  <c r="Y31" i="10" s="1"/>
  <c r="BK31" i="12"/>
  <c r="BL31" i="12" s="1"/>
  <c r="BM31" i="12" s="1"/>
  <c r="BK31" i="10"/>
  <c r="BL31" i="10" s="1"/>
  <c r="BM31" i="10" s="1"/>
  <c r="A32" i="12"/>
  <c r="A32" i="10"/>
  <c r="S130" i="12"/>
  <c r="U130" i="12" s="1"/>
  <c r="V130" i="12" s="1"/>
  <c r="S130" i="10"/>
  <c r="U130" i="10" s="1"/>
  <c r="V130" i="10" s="1"/>
  <c r="S130" i="3"/>
  <c r="BB29" i="10"/>
  <c r="AJ30" i="12"/>
  <c r="AK30" i="12" s="1"/>
  <c r="AP30" i="12" s="1"/>
  <c r="T131" i="12" s="1"/>
  <c r="AB30" i="12"/>
  <c r="AC30" i="12" s="1"/>
  <c r="AH30" i="12" s="1"/>
  <c r="P131" i="12" s="1"/>
  <c r="AB30" i="10"/>
  <c r="AC30" i="10" s="1"/>
  <c r="AH30" i="10" s="1"/>
  <c r="P131" i="10" s="1"/>
  <c r="L30" i="10"/>
  <c r="M30" i="10" s="1"/>
  <c r="N30" i="10" s="1"/>
  <c r="V28" i="3"/>
  <c r="V29" i="3"/>
  <c r="AD28" i="3"/>
  <c r="BF29" i="3"/>
  <c r="AB130" i="3" s="1"/>
  <c r="AD29" i="3"/>
  <c r="BJ29" i="3"/>
  <c r="N28" i="3"/>
  <c r="J29" i="3"/>
  <c r="D130" i="3" s="1"/>
  <c r="AX28" i="3"/>
  <c r="X129" i="3" s="1"/>
  <c r="N29" i="3"/>
  <c r="AL29" i="3"/>
  <c r="AL28" i="3"/>
  <c r="AT29" i="3"/>
  <c r="AP29" i="3"/>
  <c r="T130" i="3" s="1"/>
  <c r="U43" i="2"/>
  <c r="V43" i="2" s="1"/>
  <c r="AX29" i="3"/>
  <c r="X130" i="3" s="1"/>
  <c r="BG42" i="2"/>
  <c r="BB29" i="3"/>
  <c r="R29" i="3"/>
  <c r="H130" i="3" s="1"/>
  <c r="BN29" i="3"/>
  <c r="AF130" i="3" s="1"/>
  <c r="AM31" i="3"/>
  <c r="AN31" i="3" s="1"/>
  <c r="AO31" i="3" s="1"/>
  <c r="AI44" i="2"/>
  <c r="AK44" i="2"/>
  <c r="AU31" i="3"/>
  <c r="AV31" i="3" s="1"/>
  <c r="AW31" i="3" s="1"/>
  <c r="AO44" i="2"/>
  <c r="AQ44" i="2"/>
  <c r="AS43" i="2"/>
  <c r="AT43" i="2" s="1"/>
  <c r="AZ30" i="3"/>
  <c r="BA30" i="3" s="1"/>
  <c r="D30" i="3"/>
  <c r="E30" i="3" s="1"/>
  <c r="E25" i="22" s="1"/>
  <c r="G31" i="3"/>
  <c r="H31" i="3" s="1"/>
  <c r="I31" i="3" s="1"/>
  <c r="K44" i="2"/>
  <c r="M44" i="2"/>
  <c r="N44" i="2" s="1"/>
  <c r="AE31" i="3"/>
  <c r="AF31" i="3" s="1"/>
  <c r="AG31" i="3" s="1"/>
  <c r="AC44" i="2"/>
  <c r="AE44" i="2"/>
  <c r="AA31" i="3"/>
  <c r="AI31" i="3"/>
  <c r="BG31" i="3"/>
  <c r="AQ31" i="3"/>
  <c r="C31" i="3"/>
  <c r="S31" i="3"/>
  <c r="AY31" i="3"/>
  <c r="K31" i="3"/>
  <c r="T30" i="3"/>
  <c r="U30" i="3" s="1"/>
  <c r="L30" i="3"/>
  <c r="M30" i="3" s="1"/>
  <c r="AH28" i="3"/>
  <c r="P129" i="3" s="1"/>
  <c r="L43" i="2"/>
  <c r="O43" i="2"/>
  <c r="P43" i="2" s="1"/>
  <c r="F29" i="3"/>
  <c r="AA43" i="2"/>
  <c r="AB43" i="2" s="1"/>
  <c r="AH29" i="3"/>
  <c r="P130" i="3" s="1"/>
  <c r="BE43" i="2"/>
  <c r="BF43" i="2" s="1"/>
  <c r="Z29" i="3"/>
  <c r="L130" i="3" s="1"/>
  <c r="W31" i="3"/>
  <c r="X31" i="3" s="1"/>
  <c r="Y31" i="3" s="1"/>
  <c r="W44" i="2"/>
  <c r="Y44" i="2"/>
  <c r="BK31" i="3"/>
  <c r="BL31" i="3" s="1"/>
  <c r="BM31" i="3" s="1"/>
  <c r="BA44" i="2"/>
  <c r="BC44" i="2"/>
  <c r="A46" i="2"/>
  <c r="A32" i="3"/>
  <c r="G45" i="2"/>
  <c r="H45" i="2"/>
  <c r="I45" i="2"/>
  <c r="D45" i="2"/>
  <c r="F45" i="2"/>
  <c r="E45" i="2"/>
  <c r="B45" i="2"/>
  <c r="C45" i="2"/>
  <c r="AG43" i="2"/>
  <c r="AH43" i="2" s="1"/>
  <c r="BH30" i="3"/>
  <c r="BI30" i="3" s="1"/>
  <c r="AR30" i="3"/>
  <c r="AS30" i="3" s="1"/>
  <c r="AM43" i="2"/>
  <c r="AN43" i="2" s="1"/>
  <c r="O31" i="3"/>
  <c r="P31" i="3" s="1"/>
  <c r="Q31" i="3" s="1"/>
  <c r="Q44" i="2"/>
  <c r="S44" i="2"/>
  <c r="BC31" i="3"/>
  <c r="BD31" i="3" s="1"/>
  <c r="BE31" i="3" s="1"/>
  <c r="AU44" i="2"/>
  <c r="AW44" i="2"/>
  <c r="AB30" i="3"/>
  <c r="AC30" i="3" s="1"/>
  <c r="AJ30" i="3"/>
  <c r="AK30" i="3" s="1"/>
  <c r="Z28" i="3"/>
  <c r="L129" i="3" s="1"/>
  <c r="R28" i="3"/>
  <c r="H129" i="3" s="1"/>
  <c r="AT28" i="3"/>
  <c r="AP28" i="3"/>
  <c r="T129" i="3" s="1"/>
  <c r="U41" i="2"/>
  <c r="V41" i="2" s="1"/>
  <c r="BG40" i="2"/>
  <c r="AG41" i="2"/>
  <c r="AH41" i="2" s="1"/>
  <c r="AA41" i="2"/>
  <c r="AB41" i="2" s="1"/>
  <c r="AS41" i="2"/>
  <c r="AT41" i="2" s="1"/>
  <c r="AM41" i="2"/>
  <c r="AN41" i="2" s="1"/>
  <c r="L41" i="2"/>
  <c r="O41" i="2"/>
  <c r="P41" i="2" s="1"/>
  <c r="BE41" i="2"/>
  <c r="BF41" i="2" s="1"/>
  <c r="AY41" i="2"/>
  <c r="AZ41" i="2" s="1"/>
  <c r="BF30" i="10" l="1"/>
  <c r="AB131" i="10" s="1"/>
  <c r="AD30" i="12"/>
  <c r="A39" i="19"/>
  <c r="H38" i="19"/>
  <c r="L38" i="19"/>
  <c r="J38" i="19"/>
  <c r="K38" i="19"/>
  <c r="C38" i="19"/>
  <c r="D38" i="19"/>
  <c r="E38" i="19"/>
  <c r="I38" i="19"/>
  <c r="B38" i="19"/>
  <c r="F38" i="19"/>
  <c r="R30" i="12"/>
  <c r="H131" i="12" s="1"/>
  <c r="AL30" i="12"/>
  <c r="U130" i="3"/>
  <c r="V130" i="3" s="1"/>
  <c r="BB30" i="12"/>
  <c r="AL30" i="10"/>
  <c r="V30" i="12"/>
  <c r="BJ30" i="10"/>
  <c r="R30" i="10"/>
  <c r="H131" i="10" s="1"/>
  <c r="AT30" i="10"/>
  <c r="K129" i="12"/>
  <c r="M129" i="12" s="1"/>
  <c r="N129" i="12" s="1"/>
  <c r="K129" i="10"/>
  <c r="M129" i="10" s="1"/>
  <c r="N129" i="10" s="1"/>
  <c r="K129" i="3"/>
  <c r="M129" i="3" s="1"/>
  <c r="N129" i="3" s="1"/>
  <c r="AA129" i="12"/>
  <c r="AC129" i="12" s="1"/>
  <c r="AD129" i="12" s="1"/>
  <c r="AA129" i="10"/>
  <c r="AC129" i="10" s="1"/>
  <c r="AD129" i="10" s="1"/>
  <c r="AA129" i="3"/>
  <c r="AC129" i="3" s="1"/>
  <c r="AD129" i="3" s="1"/>
  <c r="S129" i="12"/>
  <c r="U129" i="12" s="1"/>
  <c r="V129" i="12" s="1"/>
  <c r="S129" i="10"/>
  <c r="U129" i="10" s="1"/>
  <c r="V129" i="10" s="1"/>
  <c r="S129" i="3"/>
  <c r="U129" i="3" s="1"/>
  <c r="V129" i="3" s="1"/>
  <c r="AE32" i="12"/>
  <c r="AF32" i="12" s="1"/>
  <c r="AG32" i="12" s="1"/>
  <c r="AE32" i="10"/>
  <c r="AF32" i="10" s="1"/>
  <c r="AG32" i="10" s="1"/>
  <c r="BC32" i="12"/>
  <c r="BD32" i="12" s="1"/>
  <c r="BE32" i="12" s="1"/>
  <c r="BC32" i="10"/>
  <c r="BD32" i="10" s="1"/>
  <c r="BE32" i="10" s="1"/>
  <c r="W131" i="12"/>
  <c r="W131" i="10"/>
  <c r="Y131" i="10" s="1"/>
  <c r="Z131" i="10" s="1"/>
  <c r="W131" i="3"/>
  <c r="G131" i="12"/>
  <c r="I131" i="12" s="1"/>
  <c r="J131" i="12" s="1"/>
  <c r="G131" i="10"/>
  <c r="G131" i="3"/>
  <c r="F30" i="10"/>
  <c r="AZ31" i="12"/>
  <c r="BA31" i="12" s="1"/>
  <c r="BF31" i="12" s="1"/>
  <c r="AB132" i="12" s="1"/>
  <c r="AB31" i="12"/>
  <c r="AC31" i="12" s="1"/>
  <c r="AD31" i="12" s="1"/>
  <c r="Q130" i="3"/>
  <c r="R130" i="3" s="1"/>
  <c r="AZ31" i="10"/>
  <c r="BA31" i="10" s="1"/>
  <c r="BF31" i="10" s="1"/>
  <c r="AB132" i="10" s="1"/>
  <c r="AR31" i="10"/>
  <c r="AS31" i="10" s="1"/>
  <c r="AX31" i="10" s="1"/>
  <c r="X132" i="10" s="1"/>
  <c r="F30" i="12"/>
  <c r="C129" i="12"/>
  <c r="E129" i="12" s="1"/>
  <c r="F129" i="12" s="1"/>
  <c r="C129" i="10"/>
  <c r="E129" i="10" s="1"/>
  <c r="F129" i="10" s="1"/>
  <c r="C129" i="3"/>
  <c r="E129" i="3" s="1"/>
  <c r="F129" i="3" s="1"/>
  <c r="AE129" i="12"/>
  <c r="AG129" i="12" s="1"/>
  <c r="AH129" i="12" s="1"/>
  <c r="AE129" i="10"/>
  <c r="AG129" i="10" s="1"/>
  <c r="AH129" i="10" s="1"/>
  <c r="AE129" i="3"/>
  <c r="AG129" i="3" s="1"/>
  <c r="AH129" i="3" s="1"/>
  <c r="W129" i="12"/>
  <c r="Y129" i="12" s="1"/>
  <c r="Z129" i="12" s="1"/>
  <c r="W129" i="10"/>
  <c r="Y129" i="10" s="1"/>
  <c r="Z129" i="10" s="1"/>
  <c r="W129" i="3"/>
  <c r="Y129" i="3" s="1"/>
  <c r="Z129" i="3" s="1"/>
  <c r="G129" i="12"/>
  <c r="I129" i="12" s="1"/>
  <c r="J129" i="12" s="1"/>
  <c r="G129" i="10"/>
  <c r="I129" i="10" s="1"/>
  <c r="J129" i="10" s="1"/>
  <c r="G129" i="3"/>
  <c r="I129" i="3" s="1"/>
  <c r="J129" i="3" s="1"/>
  <c r="O131" i="12"/>
  <c r="Q131" i="12" s="1"/>
  <c r="R131" i="12" s="1"/>
  <c r="O131" i="10"/>
  <c r="Q131" i="10" s="1"/>
  <c r="R131" i="10" s="1"/>
  <c r="O131" i="3"/>
  <c r="AM32" i="12"/>
  <c r="AN32" i="12" s="1"/>
  <c r="AO32" i="12" s="1"/>
  <c r="AM32" i="10"/>
  <c r="AN32" i="10" s="1"/>
  <c r="AO32" i="10" s="1"/>
  <c r="AU32" i="12"/>
  <c r="AV32" i="12" s="1"/>
  <c r="AW32" i="12" s="1"/>
  <c r="AU32" i="10"/>
  <c r="AV32" i="10" s="1"/>
  <c r="AW32" i="10" s="1"/>
  <c r="K131" i="12"/>
  <c r="M131" i="12" s="1"/>
  <c r="N131" i="12" s="1"/>
  <c r="K131" i="10"/>
  <c r="M131" i="10" s="1"/>
  <c r="N131" i="10" s="1"/>
  <c r="K131" i="3"/>
  <c r="AY32" i="10"/>
  <c r="K32" i="10"/>
  <c r="AI32" i="10"/>
  <c r="BG32" i="10"/>
  <c r="AQ32" i="10"/>
  <c r="C32" i="10"/>
  <c r="S32" i="10"/>
  <c r="AA32" i="10"/>
  <c r="AG130" i="3"/>
  <c r="AH130" i="3" s="1"/>
  <c r="BJ30" i="12"/>
  <c r="D31" i="12"/>
  <c r="E31" i="12" s="1"/>
  <c r="F31" i="12" s="1"/>
  <c r="L31" i="12"/>
  <c r="M31" i="12" s="1"/>
  <c r="R31" i="12" s="1"/>
  <c r="H132" i="12" s="1"/>
  <c r="AB31" i="10"/>
  <c r="AC31" i="10" s="1"/>
  <c r="AH31" i="10" s="1"/>
  <c r="P132" i="10" s="1"/>
  <c r="T31" i="10"/>
  <c r="U31" i="10" s="1"/>
  <c r="Z31" i="10" s="1"/>
  <c r="L132" i="10" s="1"/>
  <c r="E130" i="10"/>
  <c r="F130" i="10" s="1"/>
  <c r="M130" i="3"/>
  <c r="N130" i="3" s="1"/>
  <c r="V30" i="10"/>
  <c r="AX30" i="12"/>
  <c r="X131" i="12" s="1"/>
  <c r="S131" i="12"/>
  <c r="U131" i="12" s="1"/>
  <c r="V131" i="12" s="1"/>
  <c r="S131" i="10"/>
  <c r="U131" i="10" s="1"/>
  <c r="V131" i="10" s="1"/>
  <c r="S131" i="3"/>
  <c r="O32" i="12"/>
  <c r="P32" i="12" s="1"/>
  <c r="Q32" i="12" s="1"/>
  <c r="O32" i="10"/>
  <c r="P32" i="10" s="1"/>
  <c r="Q32" i="10" s="1"/>
  <c r="W32" i="12"/>
  <c r="X32" i="12" s="1"/>
  <c r="Y32" i="12" s="1"/>
  <c r="W32" i="10"/>
  <c r="X32" i="10" s="1"/>
  <c r="Y32" i="10" s="1"/>
  <c r="AD30" i="10"/>
  <c r="AQ32" i="12"/>
  <c r="C32" i="12"/>
  <c r="AI32" i="12"/>
  <c r="AY32" i="12"/>
  <c r="S32" i="12"/>
  <c r="K32" i="12"/>
  <c r="AA32" i="12"/>
  <c r="BG32" i="12"/>
  <c r="E130" i="3"/>
  <c r="F130" i="3" s="1"/>
  <c r="AR31" i="12"/>
  <c r="AS31" i="12" s="1"/>
  <c r="AT31" i="12" s="1"/>
  <c r="BH31" i="12"/>
  <c r="BI31" i="12" s="1"/>
  <c r="BJ31" i="12" s="1"/>
  <c r="BH31" i="10"/>
  <c r="BI31" i="10" s="1"/>
  <c r="BJ31" i="10" s="1"/>
  <c r="AJ31" i="10"/>
  <c r="AK31" i="10" s="1"/>
  <c r="AP31" i="10" s="1"/>
  <c r="T132" i="10" s="1"/>
  <c r="I130" i="3"/>
  <c r="J130" i="3" s="1"/>
  <c r="O129" i="12"/>
  <c r="Q129" i="12" s="1"/>
  <c r="R129" i="12" s="1"/>
  <c r="O129" i="10"/>
  <c r="Q129" i="10" s="1"/>
  <c r="R129" i="10" s="1"/>
  <c r="O129" i="3"/>
  <c r="Q129" i="3" s="1"/>
  <c r="R129" i="3" s="1"/>
  <c r="G32" i="12"/>
  <c r="H32" i="12" s="1"/>
  <c r="I32" i="12" s="1"/>
  <c r="G32" i="10"/>
  <c r="H32" i="10" s="1"/>
  <c r="I32" i="10" s="1"/>
  <c r="BK32" i="12"/>
  <c r="BL32" i="12" s="1"/>
  <c r="BM32" i="12" s="1"/>
  <c r="BK32" i="10"/>
  <c r="BL32" i="10" s="1"/>
  <c r="BM32" i="10" s="1"/>
  <c r="A33" i="12"/>
  <c r="A33" i="10"/>
  <c r="AE131" i="12"/>
  <c r="AG131" i="12" s="1"/>
  <c r="AH131" i="12" s="1"/>
  <c r="AE131" i="10"/>
  <c r="AG131" i="10" s="1"/>
  <c r="AH131" i="10" s="1"/>
  <c r="AE131" i="3"/>
  <c r="C131" i="12"/>
  <c r="E131" i="12" s="1"/>
  <c r="F131" i="12" s="1"/>
  <c r="C131" i="10"/>
  <c r="E131" i="10" s="1"/>
  <c r="F131" i="10" s="1"/>
  <c r="C131" i="3"/>
  <c r="AC130" i="3"/>
  <c r="AD130" i="3" s="1"/>
  <c r="T31" i="12"/>
  <c r="U31" i="12" s="1"/>
  <c r="Z31" i="12" s="1"/>
  <c r="L132" i="12" s="1"/>
  <c r="AJ31" i="12"/>
  <c r="AK31" i="12" s="1"/>
  <c r="AL31" i="12" s="1"/>
  <c r="Y130" i="3"/>
  <c r="Z130" i="3" s="1"/>
  <c r="L31" i="10"/>
  <c r="M31" i="10" s="1"/>
  <c r="N31" i="10" s="1"/>
  <c r="D31" i="10"/>
  <c r="E31" i="10" s="1"/>
  <c r="J31" i="10" s="1"/>
  <c r="D132" i="10" s="1"/>
  <c r="I130" i="10"/>
  <c r="J130" i="10" s="1"/>
  <c r="AA131" i="12"/>
  <c r="AC131" i="12" s="1"/>
  <c r="AD131" i="12" s="1"/>
  <c r="AA131" i="10"/>
  <c r="AC131" i="10" s="1"/>
  <c r="AD131" i="10" s="1"/>
  <c r="AA131" i="3"/>
  <c r="BJ30" i="3"/>
  <c r="N30" i="3"/>
  <c r="AL30" i="3"/>
  <c r="F30" i="3"/>
  <c r="AD30" i="3"/>
  <c r="AT30" i="3"/>
  <c r="V30" i="3"/>
  <c r="BB30" i="3"/>
  <c r="AA44" i="2"/>
  <c r="AB44" i="2" s="1"/>
  <c r="AG44" i="2"/>
  <c r="AH44" i="2" s="1"/>
  <c r="BF30" i="3"/>
  <c r="AB131" i="3" s="1"/>
  <c r="AY44" i="2"/>
  <c r="AZ44" i="2" s="1"/>
  <c r="AP30" i="3"/>
  <c r="T131" i="3" s="1"/>
  <c r="U131" i="3" s="1"/>
  <c r="V131" i="3" s="1"/>
  <c r="AH30" i="3"/>
  <c r="P131" i="3" s="1"/>
  <c r="Q131" i="3" s="1"/>
  <c r="R131" i="3" s="1"/>
  <c r="AS44" i="2"/>
  <c r="AT44" i="2" s="1"/>
  <c r="W32" i="3"/>
  <c r="X32" i="3" s="1"/>
  <c r="Y32" i="3" s="1"/>
  <c r="W45" i="2"/>
  <c r="Y45" i="2"/>
  <c r="K32" i="3"/>
  <c r="AA32" i="3"/>
  <c r="C32" i="3"/>
  <c r="BG32" i="3"/>
  <c r="S32" i="3"/>
  <c r="AI32" i="3"/>
  <c r="AQ32" i="3"/>
  <c r="AY32" i="3"/>
  <c r="BN30" i="3"/>
  <c r="AF131" i="3" s="1"/>
  <c r="AG131" i="3" s="1"/>
  <c r="AH131" i="3" s="1"/>
  <c r="G32" i="3"/>
  <c r="H32" i="3" s="1"/>
  <c r="I32" i="3" s="1"/>
  <c r="K45" i="2"/>
  <c r="M45" i="2"/>
  <c r="N45" i="2" s="1"/>
  <c r="BK32" i="3"/>
  <c r="BL32" i="3" s="1"/>
  <c r="BM32" i="3" s="1"/>
  <c r="BA45" i="2"/>
  <c r="BC45" i="2"/>
  <c r="A47" i="2"/>
  <c r="A33" i="3"/>
  <c r="H46" i="2"/>
  <c r="I46" i="2"/>
  <c r="G46" i="2"/>
  <c r="E46" i="2"/>
  <c r="D46" i="2"/>
  <c r="B46" i="2"/>
  <c r="F46" i="2"/>
  <c r="C46" i="2"/>
  <c r="BG43" i="2"/>
  <c r="R30" i="3"/>
  <c r="H131" i="3" s="1"/>
  <c r="AZ31" i="3"/>
  <c r="BA31" i="3" s="1"/>
  <c r="BH31" i="3"/>
  <c r="BI31" i="3" s="1"/>
  <c r="AM44" i="2"/>
  <c r="AN44" i="2" s="1"/>
  <c r="T31" i="3"/>
  <c r="U31" i="3" s="1"/>
  <c r="AJ31" i="3"/>
  <c r="AK31" i="3" s="1"/>
  <c r="J30" i="3"/>
  <c r="D131" i="3" s="1"/>
  <c r="AE32" i="3"/>
  <c r="AF32" i="3" s="1"/>
  <c r="AG32" i="3" s="1"/>
  <c r="AC45" i="2"/>
  <c r="AE45" i="2"/>
  <c r="BC32" i="3"/>
  <c r="BD32" i="3" s="1"/>
  <c r="BE32" i="3" s="1"/>
  <c r="AU45" i="2"/>
  <c r="AW45" i="2"/>
  <c r="U44" i="2"/>
  <c r="V44" i="2" s="1"/>
  <c r="AX30" i="3"/>
  <c r="X131" i="3" s="1"/>
  <c r="Y131" i="3" s="1"/>
  <c r="Z131" i="3" s="1"/>
  <c r="AM32" i="3"/>
  <c r="AN32" i="3" s="1"/>
  <c r="AO32" i="3" s="1"/>
  <c r="AI45" i="2"/>
  <c r="AK45" i="2"/>
  <c r="AU32" i="3"/>
  <c r="AV32" i="3" s="1"/>
  <c r="AW32" i="3" s="1"/>
  <c r="AO45" i="2"/>
  <c r="AQ45" i="2"/>
  <c r="BE44" i="2"/>
  <c r="BF44" i="2" s="1"/>
  <c r="Z30" i="3"/>
  <c r="L131" i="3" s="1"/>
  <c r="M131" i="3" s="1"/>
  <c r="N131" i="3" s="1"/>
  <c r="D31" i="3"/>
  <c r="E31" i="3" s="1"/>
  <c r="E26" i="22" s="1"/>
  <c r="AB31" i="3"/>
  <c r="AC31" i="3" s="1"/>
  <c r="O32" i="3"/>
  <c r="P32" i="3" s="1"/>
  <c r="Q32" i="3" s="1"/>
  <c r="Q45" i="2"/>
  <c r="S45" i="2"/>
  <c r="L31" i="3"/>
  <c r="M31" i="3" s="1"/>
  <c r="AR31" i="3"/>
  <c r="AS31" i="3" s="1"/>
  <c r="AX31" i="3" s="1"/>
  <c r="X132" i="3" s="1"/>
  <c r="L44" i="2"/>
  <c r="O44" i="2"/>
  <c r="P44" i="2" s="1"/>
  <c r="BG41" i="2"/>
  <c r="I131" i="10" l="1"/>
  <c r="J131" i="10" s="1"/>
  <c r="BE45" i="2"/>
  <c r="BF45" i="2" s="1"/>
  <c r="F31" i="10"/>
  <c r="A40" i="19"/>
  <c r="K39" i="19"/>
  <c r="I39" i="19"/>
  <c r="J39" i="19"/>
  <c r="H39" i="19"/>
  <c r="L39" i="19"/>
  <c r="D39" i="19"/>
  <c r="E39" i="19"/>
  <c r="B39" i="19"/>
  <c r="C39" i="19"/>
  <c r="F39" i="19"/>
  <c r="AT31" i="10"/>
  <c r="AH31" i="12"/>
  <c r="P132" i="12" s="1"/>
  <c r="AD31" i="10"/>
  <c r="AP31" i="12"/>
  <c r="T132" i="12" s="1"/>
  <c r="BN31" i="10"/>
  <c r="AF132" i="10" s="1"/>
  <c r="N31" i="12"/>
  <c r="BB31" i="10"/>
  <c r="AE33" i="12"/>
  <c r="AF33" i="12" s="1"/>
  <c r="AG33" i="12" s="1"/>
  <c r="AE33" i="10"/>
  <c r="AF33" i="10" s="1"/>
  <c r="AG33" i="10" s="1"/>
  <c r="AE132" i="12"/>
  <c r="AE132" i="10"/>
  <c r="AE132" i="3"/>
  <c r="G132" i="12"/>
  <c r="I132" i="12" s="1"/>
  <c r="J132" i="12" s="1"/>
  <c r="G132" i="10"/>
  <c r="G132" i="3"/>
  <c r="AM33" i="12"/>
  <c r="AN33" i="12" s="1"/>
  <c r="AO33" i="12" s="1"/>
  <c r="AM33" i="10"/>
  <c r="AN33" i="10" s="1"/>
  <c r="AO33" i="10" s="1"/>
  <c r="AU33" i="12"/>
  <c r="AV33" i="12" s="1"/>
  <c r="AW33" i="12" s="1"/>
  <c r="AU33" i="10"/>
  <c r="AV33" i="10" s="1"/>
  <c r="AW33" i="10" s="1"/>
  <c r="A34" i="12"/>
  <c r="A34" i="10"/>
  <c r="O132" i="12"/>
  <c r="Q132" i="12" s="1"/>
  <c r="R132" i="12" s="1"/>
  <c r="O132" i="10"/>
  <c r="Q132" i="10" s="1"/>
  <c r="R132" i="10" s="1"/>
  <c r="O132" i="3"/>
  <c r="V31" i="12"/>
  <c r="E131" i="3"/>
  <c r="F131" i="3" s="1"/>
  <c r="AL31" i="10"/>
  <c r="AX31" i="12"/>
  <c r="X132" i="12" s="1"/>
  <c r="BH32" i="12"/>
  <c r="BI32" i="12" s="1"/>
  <c r="BJ32" i="12" s="1"/>
  <c r="AZ32" i="12"/>
  <c r="BA32" i="12" s="1"/>
  <c r="BF32" i="12" s="1"/>
  <c r="AB133" i="12" s="1"/>
  <c r="V31" i="10"/>
  <c r="D32" i="10"/>
  <c r="E32" i="10" s="1"/>
  <c r="F32" i="10" s="1"/>
  <c r="L32" i="10"/>
  <c r="M32" i="10" s="1"/>
  <c r="R32" i="10" s="1"/>
  <c r="H133" i="10" s="1"/>
  <c r="BB31" i="12"/>
  <c r="I131" i="3"/>
  <c r="J131" i="3" s="1"/>
  <c r="O33" i="12"/>
  <c r="P33" i="12" s="1"/>
  <c r="Q33" i="12" s="1"/>
  <c r="O33" i="10"/>
  <c r="P33" i="10" s="1"/>
  <c r="Q33" i="10" s="1"/>
  <c r="C132" i="12"/>
  <c r="C132" i="10"/>
  <c r="E132" i="10" s="1"/>
  <c r="F132" i="10" s="1"/>
  <c r="C132" i="3"/>
  <c r="G33" i="12"/>
  <c r="H33" i="12" s="1"/>
  <c r="I33" i="12" s="1"/>
  <c r="G33" i="10"/>
  <c r="H33" i="10" s="1"/>
  <c r="I33" i="10" s="1"/>
  <c r="BK33" i="12"/>
  <c r="BL33" i="12" s="1"/>
  <c r="BM33" i="12" s="1"/>
  <c r="BK33" i="10"/>
  <c r="BL33" i="10" s="1"/>
  <c r="BM33" i="10" s="1"/>
  <c r="K132" i="12"/>
  <c r="M132" i="12" s="1"/>
  <c r="N132" i="12" s="1"/>
  <c r="K132" i="10"/>
  <c r="M132" i="10" s="1"/>
  <c r="N132" i="10" s="1"/>
  <c r="K132" i="3"/>
  <c r="R31" i="10"/>
  <c r="H132" i="10" s="1"/>
  <c r="AB32" i="12"/>
  <c r="AC32" i="12" s="1"/>
  <c r="AH32" i="12" s="1"/>
  <c r="P133" i="12" s="1"/>
  <c r="AJ32" i="12"/>
  <c r="AK32" i="12" s="1"/>
  <c r="AL32" i="12" s="1"/>
  <c r="J31" i="12"/>
  <c r="D132" i="12" s="1"/>
  <c r="AR32" i="10"/>
  <c r="AS32" i="10" s="1"/>
  <c r="AX32" i="10" s="1"/>
  <c r="X133" i="10" s="1"/>
  <c r="AZ32" i="10"/>
  <c r="BA32" i="10" s="1"/>
  <c r="BF32" i="10" s="1"/>
  <c r="AB133" i="10" s="1"/>
  <c r="Y131" i="12"/>
  <c r="Z131" i="12" s="1"/>
  <c r="S132" i="12"/>
  <c r="U132" i="12" s="1"/>
  <c r="V132" i="12" s="1"/>
  <c r="S132" i="10"/>
  <c r="U132" i="10" s="1"/>
  <c r="V132" i="10" s="1"/>
  <c r="S132" i="3"/>
  <c r="W33" i="12"/>
  <c r="X33" i="12" s="1"/>
  <c r="Y33" i="12" s="1"/>
  <c r="W33" i="10"/>
  <c r="X33" i="10" s="1"/>
  <c r="Y33" i="10" s="1"/>
  <c r="BC33" i="12"/>
  <c r="BD33" i="12" s="1"/>
  <c r="BE33" i="12" s="1"/>
  <c r="BC33" i="10"/>
  <c r="BD33" i="10" s="1"/>
  <c r="BE33" i="10" s="1"/>
  <c r="AE133" i="12"/>
  <c r="AE133" i="10"/>
  <c r="AE133" i="3"/>
  <c r="AA132" i="12"/>
  <c r="AC132" i="12" s="1"/>
  <c r="AD132" i="12" s="1"/>
  <c r="AA132" i="10"/>
  <c r="AC132" i="10" s="1"/>
  <c r="AD132" i="10" s="1"/>
  <c r="AA132" i="3"/>
  <c r="AC131" i="3"/>
  <c r="AD131" i="3" s="1"/>
  <c r="AQ33" i="10"/>
  <c r="C33" i="10"/>
  <c r="AI33" i="10"/>
  <c r="AY33" i="10"/>
  <c r="S33" i="10"/>
  <c r="K33" i="10"/>
  <c r="BG33" i="10"/>
  <c r="AA33" i="10"/>
  <c r="BN31" i="12"/>
  <c r="AF132" i="12" s="1"/>
  <c r="L32" i="12"/>
  <c r="M32" i="12" s="1"/>
  <c r="N32" i="12" s="1"/>
  <c r="D32" i="12"/>
  <c r="E32" i="12" s="1"/>
  <c r="J32" i="12" s="1"/>
  <c r="D133" i="12" s="1"/>
  <c r="AB32" i="10"/>
  <c r="AC32" i="10" s="1"/>
  <c r="AH32" i="10" s="1"/>
  <c r="P133" i="10" s="1"/>
  <c r="BH32" i="10"/>
  <c r="BI32" i="10" s="1"/>
  <c r="BJ32" i="10" s="1"/>
  <c r="W132" i="12"/>
  <c r="Y132" i="12" s="1"/>
  <c r="Z132" i="12" s="1"/>
  <c r="W132" i="10"/>
  <c r="Y132" i="10" s="1"/>
  <c r="Z132" i="10" s="1"/>
  <c r="W132" i="3"/>
  <c r="Y132" i="3" s="1"/>
  <c r="Z132" i="3" s="1"/>
  <c r="AA33" i="12"/>
  <c r="AQ33" i="12"/>
  <c r="C33" i="12"/>
  <c r="AI33" i="12"/>
  <c r="AY33" i="12"/>
  <c r="S33" i="12"/>
  <c r="BG33" i="12"/>
  <c r="K33" i="12"/>
  <c r="T32" i="12"/>
  <c r="U32" i="12" s="1"/>
  <c r="V32" i="12" s="1"/>
  <c r="AR32" i="12"/>
  <c r="AS32" i="12" s="1"/>
  <c r="AX32" i="12" s="1"/>
  <c r="X133" i="12" s="1"/>
  <c r="T32" i="10"/>
  <c r="U32" i="10" s="1"/>
  <c r="V32" i="10" s="1"/>
  <c r="AJ32" i="10"/>
  <c r="AK32" i="10" s="1"/>
  <c r="AL32" i="10" s="1"/>
  <c r="AT31" i="3"/>
  <c r="BJ31" i="3"/>
  <c r="AL31" i="3"/>
  <c r="F31" i="3"/>
  <c r="BB31" i="3"/>
  <c r="N31" i="3"/>
  <c r="AH31" i="3"/>
  <c r="P132" i="3" s="1"/>
  <c r="Z31" i="3"/>
  <c r="L132" i="3" s="1"/>
  <c r="V31" i="3"/>
  <c r="BF31" i="3"/>
  <c r="AB132" i="3" s="1"/>
  <c r="U45" i="2"/>
  <c r="V45" i="2" s="1"/>
  <c r="R31" i="3"/>
  <c r="H132" i="3" s="1"/>
  <c r="AM45" i="2"/>
  <c r="AN45" i="2" s="1"/>
  <c r="AP31" i="3"/>
  <c r="T132" i="3" s="1"/>
  <c r="W33" i="3"/>
  <c r="X33" i="3" s="1"/>
  <c r="Y33" i="3" s="1"/>
  <c r="W46" i="2"/>
  <c r="Y46" i="2"/>
  <c r="BC33" i="3"/>
  <c r="BD33" i="3" s="1"/>
  <c r="BE33" i="3" s="1"/>
  <c r="AU46" i="2"/>
  <c r="AW46" i="2"/>
  <c r="J31" i="3"/>
  <c r="D132" i="3" s="1"/>
  <c r="AS45" i="2"/>
  <c r="AT45" i="2" s="1"/>
  <c r="AY45" i="2"/>
  <c r="AZ45" i="2" s="1"/>
  <c r="BN31" i="3"/>
  <c r="AF132" i="3" s="1"/>
  <c r="O33" i="3"/>
  <c r="P33" i="3" s="1"/>
  <c r="Q33" i="3" s="1"/>
  <c r="Q46" i="2"/>
  <c r="S46" i="2"/>
  <c r="AE33" i="3"/>
  <c r="AF33" i="3" s="1"/>
  <c r="AG33" i="3" s="1"/>
  <c r="AC46" i="2"/>
  <c r="AE46" i="2"/>
  <c r="AA33" i="3"/>
  <c r="BG33" i="3"/>
  <c r="AY33" i="3"/>
  <c r="AQ33" i="3"/>
  <c r="S33" i="3"/>
  <c r="AI33" i="3"/>
  <c r="K33" i="3"/>
  <c r="C33" i="3"/>
  <c r="T32" i="3"/>
  <c r="U32" i="3" s="1"/>
  <c r="L32" i="3"/>
  <c r="M32" i="3" s="1"/>
  <c r="AM33" i="3"/>
  <c r="AN33" i="3" s="1"/>
  <c r="AO33" i="3" s="1"/>
  <c r="AI46" i="2"/>
  <c r="AK46" i="2"/>
  <c r="AQ46" i="2"/>
  <c r="AU33" i="3"/>
  <c r="AV33" i="3" s="1"/>
  <c r="AW33" i="3" s="1"/>
  <c r="AO46" i="2"/>
  <c r="A48" i="2"/>
  <c r="A34" i="3"/>
  <c r="I47" i="2"/>
  <c r="G47" i="2"/>
  <c r="H47" i="2"/>
  <c r="F47" i="2"/>
  <c r="D47" i="2"/>
  <c r="E47" i="2"/>
  <c r="B47" i="2"/>
  <c r="C47" i="2"/>
  <c r="AZ32" i="3"/>
  <c r="BA32" i="3" s="1"/>
  <c r="BH32" i="3"/>
  <c r="BI32" i="3" s="1"/>
  <c r="AD31" i="3"/>
  <c r="BG44" i="2"/>
  <c r="AG45" i="2"/>
  <c r="AH45" i="2" s="1"/>
  <c r="G33" i="3"/>
  <c r="H33" i="3" s="1"/>
  <c r="I33" i="3" s="1"/>
  <c r="K46" i="2"/>
  <c r="M46" i="2"/>
  <c r="N46" i="2" s="1"/>
  <c r="BK33" i="3"/>
  <c r="BL33" i="3" s="1"/>
  <c r="BM33" i="3" s="1"/>
  <c r="BA46" i="2"/>
  <c r="BC46" i="2"/>
  <c r="L45" i="2"/>
  <c r="O45" i="2"/>
  <c r="P45" i="2" s="1"/>
  <c r="AR32" i="3"/>
  <c r="AS32" i="3" s="1"/>
  <c r="D32" i="3"/>
  <c r="E32" i="3" s="1"/>
  <c r="E27" i="22" s="1"/>
  <c r="AA45" i="2"/>
  <c r="AB45" i="2" s="1"/>
  <c r="BG45" i="2"/>
  <c r="AJ32" i="3"/>
  <c r="AK32" i="3" s="1"/>
  <c r="AB32" i="3"/>
  <c r="AC32" i="3" s="1"/>
  <c r="AP32" i="12" l="1"/>
  <c r="T133" i="12" s="1"/>
  <c r="AG132" i="10"/>
  <c r="AH132" i="10" s="1"/>
  <c r="N32" i="10"/>
  <c r="AT32" i="10"/>
  <c r="A41" i="19"/>
  <c r="J40" i="19"/>
  <c r="H40" i="19"/>
  <c r="L40" i="19"/>
  <c r="I40" i="19"/>
  <c r="K40" i="19"/>
  <c r="B40" i="19"/>
  <c r="F40" i="19"/>
  <c r="C40" i="19"/>
  <c r="D40" i="19"/>
  <c r="E40" i="19"/>
  <c r="AD32" i="10"/>
  <c r="AD32" i="12"/>
  <c r="BN32" i="10"/>
  <c r="AF133" i="10" s="1"/>
  <c r="R32" i="12"/>
  <c r="H133" i="12" s="1"/>
  <c r="Q132" i="3"/>
  <c r="R132" i="3" s="1"/>
  <c r="Z32" i="12"/>
  <c r="L133" i="12" s="1"/>
  <c r="E132" i="3"/>
  <c r="F132" i="3" s="1"/>
  <c r="Z32" i="10"/>
  <c r="L133" i="10" s="1"/>
  <c r="BB32" i="10"/>
  <c r="BN32" i="12"/>
  <c r="AF133" i="12" s="1"/>
  <c r="AE34" i="12"/>
  <c r="AF34" i="12" s="1"/>
  <c r="AG34" i="12" s="1"/>
  <c r="AE34" i="10"/>
  <c r="AF34" i="10" s="1"/>
  <c r="AG34" i="10" s="1"/>
  <c r="W133" i="12"/>
  <c r="Y133" i="12" s="1"/>
  <c r="Z133" i="12" s="1"/>
  <c r="W133" i="10"/>
  <c r="Y133" i="10" s="1"/>
  <c r="Z133" i="10" s="1"/>
  <c r="W133" i="3"/>
  <c r="AR33" i="12"/>
  <c r="AS33" i="12" s="1"/>
  <c r="AX33" i="12" s="1"/>
  <c r="X134" i="12" s="1"/>
  <c r="C133" i="12"/>
  <c r="E133" i="12" s="1"/>
  <c r="F133" i="12" s="1"/>
  <c r="C133" i="10"/>
  <c r="C133" i="3"/>
  <c r="O133" i="12"/>
  <c r="Q133" i="12" s="1"/>
  <c r="R133" i="12" s="1"/>
  <c r="O133" i="10"/>
  <c r="Q133" i="10" s="1"/>
  <c r="R133" i="10" s="1"/>
  <c r="O133" i="3"/>
  <c r="W34" i="12"/>
  <c r="X34" i="12" s="1"/>
  <c r="Y34" i="12" s="1"/>
  <c r="W34" i="10"/>
  <c r="X34" i="10" s="1"/>
  <c r="Y34" i="10" s="1"/>
  <c r="BK34" i="12"/>
  <c r="BL34" i="12" s="1"/>
  <c r="BM34" i="12" s="1"/>
  <c r="BK34" i="10"/>
  <c r="BL34" i="10" s="1"/>
  <c r="BM34" i="10" s="1"/>
  <c r="S133" i="12"/>
  <c r="U133" i="12" s="1"/>
  <c r="V133" i="12" s="1"/>
  <c r="S133" i="10"/>
  <c r="S133" i="3"/>
  <c r="AT32" i="12"/>
  <c r="AZ33" i="12"/>
  <c r="BA33" i="12" s="1"/>
  <c r="BF33" i="12" s="1"/>
  <c r="AB134" i="12" s="1"/>
  <c r="AB33" i="12"/>
  <c r="AC33" i="12" s="1"/>
  <c r="AH33" i="12" s="1"/>
  <c r="P134" i="12" s="1"/>
  <c r="AB33" i="10"/>
  <c r="AC33" i="10" s="1"/>
  <c r="AD33" i="10" s="1"/>
  <c r="AZ33" i="10"/>
  <c r="BA33" i="10" s="1"/>
  <c r="BB33" i="10" s="1"/>
  <c r="M132" i="3"/>
  <c r="N132" i="3" s="1"/>
  <c r="I132" i="3"/>
  <c r="J132" i="3" s="1"/>
  <c r="K133" i="12"/>
  <c r="M133" i="12" s="1"/>
  <c r="N133" i="12" s="1"/>
  <c r="K133" i="10"/>
  <c r="K133" i="3"/>
  <c r="O34" i="12"/>
  <c r="P34" i="12" s="1"/>
  <c r="Q34" i="12" s="1"/>
  <c r="O34" i="10"/>
  <c r="P34" i="10" s="1"/>
  <c r="Q34" i="10" s="1"/>
  <c r="L33" i="12"/>
  <c r="M33" i="12" s="1"/>
  <c r="N33" i="12" s="1"/>
  <c r="R33" i="12"/>
  <c r="H134" i="12" s="1"/>
  <c r="AJ33" i="12"/>
  <c r="AK33" i="12" s="1"/>
  <c r="AP33" i="12" s="1"/>
  <c r="T134" i="12" s="1"/>
  <c r="BH33" i="10"/>
  <c r="BI33" i="10" s="1"/>
  <c r="BN33" i="10" s="1"/>
  <c r="AF134" i="10" s="1"/>
  <c r="AJ33" i="10"/>
  <c r="AK33" i="10" s="1"/>
  <c r="AP33" i="10" s="1"/>
  <c r="T134" i="10" s="1"/>
  <c r="AL33" i="10"/>
  <c r="AC132" i="3"/>
  <c r="AD132" i="3" s="1"/>
  <c r="AG133" i="10"/>
  <c r="AH133" i="10" s="1"/>
  <c r="E132" i="12"/>
  <c r="F132" i="12" s="1"/>
  <c r="J32" i="10"/>
  <c r="D133" i="10" s="1"/>
  <c r="BB32" i="12"/>
  <c r="I132" i="10"/>
  <c r="J132" i="10" s="1"/>
  <c r="AG132" i="12"/>
  <c r="AH132" i="12" s="1"/>
  <c r="AM34" i="12"/>
  <c r="AN34" i="12" s="1"/>
  <c r="AO34" i="12" s="1"/>
  <c r="AM34" i="10"/>
  <c r="AN34" i="10" s="1"/>
  <c r="AO34" i="10" s="1"/>
  <c r="AP32" i="10"/>
  <c r="T133" i="10" s="1"/>
  <c r="F32" i="12"/>
  <c r="G34" i="12"/>
  <c r="H34" i="12" s="1"/>
  <c r="I34" i="12" s="1"/>
  <c r="G34" i="10"/>
  <c r="H34" i="10" s="1"/>
  <c r="I34" i="10" s="1"/>
  <c r="BC34" i="12"/>
  <c r="BD34" i="12" s="1"/>
  <c r="BE34" i="12" s="1"/>
  <c r="BC34" i="10"/>
  <c r="BD34" i="10" s="1"/>
  <c r="BE34" i="10" s="1"/>
  <c r="A35" i="12"/>
  <c r="A35" i="10"/>
  <c r="AA133" i="12"/>
  <c r="AC133" i="12" s="1"/>
  <c r="AD133" i="12" s="1"/>
  <c r="AA133" i="10"/>
  <c r="AC133" i="10" s="1"/>
  <c r="AD133" i="10" s="1"/>
  <c r="AA133" i="3"/>
  <c r="AY46" i="2"/>
  <c r="AZ46" i="2" s="1"/>
  <c r="G133" i="12"/>
  <c r="G133" i="10"/>
  <c r="I133" i="10" s="1"/>
  <c r="J133" i="10" s="1"/>
  <c r="G133" i="3"/>
  <c r="BH33" i="12"/>
  <c r="BI33" i="12" s="1"/>
  <c r="BN33" i="12" s="1"/>
  <c r="AF134" i="12" s="1"/>
  <c r="D33" i="12"/>
  <c r="E33" i="12" s="1"/>
  <c r="F33" i="12" s="1"/>
  <c r="L33" i="10"/>
  <c r="M33" i="10" s="1"/>
  <c r="N33" i="10" s="1"/>
  <c r="D33" i="10"/>
  <c r="E33" i="10" s="1"/>
  <c r="J33" i="10" s="1"/>
  <c r="D134" i="10" s="1"/>
  <c r="AG133" i="12"/>
  <c r="AH133" i="12" s="1"/>
  <c r="AY34" i="10"/>
  <c r="BG34" i="10"/>
  <c r="AQ34" i="10"/>
  <c r="AA34" i="10"/>
  <c r="AI34" i="10"/>
  <c r="K34" i="10"/>
  <c r="C34" i="10"/>
  <c r="S34" i="10"/>
  <c r="AU34" i="12"/>
  <c r="AV34" i="12" s="1"/>
  <c r="AW34" i="12" s="1"/>
  <c r="AU34" i="10"/>
  <c r="AV34" i="10" s="1"/>
  <c r="AW34" i="10" s="1"/>
  <c r="T33" i="12"/>
  <c r="U33" i="12" s="1"/>
  <c r="V33" i="12" s="1"/>
  <c r="T33" i="10"/>
  <c r="U33" i="10" s="1"/>
  <c r="Z33" i="10" s="1"/>
  <c r="L134" i="10" s="1"/>
  <c r="AR33" i="10"/>
  <c r="AS33" i="10" s="1"/>
  <c r="AX33" i="10" s="1"/>
  <c r="X134" i="10" s="1"/>
  <c r="U132" i="3"/>
  <c r="V132" i="3" s="1"/>
  <c r="AA34" i="12"/>
  <c r="AY34" i="12"/>
  <c r="K34" i="12"/>
  <c r="AQ34" i="12"/>
  <c r="C34" i="12"/>
  <c r="AI34" i="12"/>
  <c r="S34" i="12"/>
  <c r="BG34" i="12"/>
  <c r="AG132" i="3"/>
  <c r="AH132" i="3" s="1"/>
  <c r="AH32" i="3"/>
  <c r="P133" i="3" s="1"/>
  <c r="Z32" i="3"/>
  <c r="L133" i="3" s="1"/>
  <c r="AP32" i="3"/>
  <c r="T133" i="3" s="1"/>
  <c r="AX32" i="3"/>
  <c r="X133" i="3" s="1"/>
  <c r="BJ32" i="3"/>
  <c r="V32" i="3"/>
  <c r="F32" i="3"/>
  <c r="BB32" i="3"/>
  <c r="R32" i="3"/>
  <c r="H133" i="3" s="1"/>
  <c r="AT32" i="3"/>
  <c r="BE46" i="2"/>
  <c r="BF46" i="2" s="1"/>
  <c r="BF32" i="3"/>
  <c r="AB133" i="3" s="1"/>
  <c r="J32" i="3"/>
  <c r="D133" i="3" s="1"/>
  <c r="BN32" i="3"/>
  <c r="AF133" i="3" s="1"/>
  <c r="AG133" i="3" s="1"/>
  <c r="AH133" i="3" s="1"/>
  <c r="N32" i="3"/>
  <c r="AS46" i="2"/>
  <c r="AT46" i="2" s="1"/>
  <c r="BK34" i="3"/>
  <c r="BL34" i="3" s="1"/>
  <c r="BM34" i="3" s="1"/>
  <c r="BA47" i="2"/>
  <c r="BC47" i="2"/>
  <c r="AB33" i="3"/>
  <c r="AC33" i="3" s="1"/>
  <c r="AL32" i="3"/>
  <c r="O34" i="3"/>
  <c r="P34" i="3" s="1"/>
  <c r="Q34" i="3" s="1"/>
  <c r="Q47" i="2"/>
  <c r="S47" i="2"/>
  <c r="AM34" i="3"/>
  <c r="AN34" i="3" s="1"/>
  <c r="AO34" i="3" s="1"/>
  <c r="AI47" i="2"/>
  <c r="AK47" i="2"/>
  <c r="K34" i="3"/>
  <c r="BG34" i="3"/>
  <c r="BH34" i="3" s="1"/>
  <c r="BI34" i="3" s="1"/>
  <c r="AA34" i="3"/>
  <c r="AQ34" i="3"/>
  <c r="S34" i="3"/>
  <c r="C34" i="3"/>
  <c r="AI34" i="3"/>
  <c r="AY34" i="3"/>
  <c r="D33" i="3"/>
  <c r="E33" i="3" s="1"/>
  <c r="E28" i="22" s="1"/>
  <c r="AR33" i="3"/>
  <c r="AS33" i="3" s="1"/>
  <c r="AG46" i="2"/>
  <c r="AH46" i="2" s="1"/>
  <c r="U46" i="2"/>
  <c r="V46" i="2" s="1"/>
  <c r="G34" i="3"/>
  <c r="H34" i="3" s="1"/>
  <c r="I34" i="3" s="1"/>
  <c r="K47" i="2"/>
  <c r="M47" i="2"/>
  <c r="N47" i="2" s="1"/>
  <c r="L33" i="3"/>
  <c r="M33" i="3" s="1"/>
  <c r="BC34" i="3"/>
  <c r="BD34" i="3" s="1"/>
  <c r="BE34" i="3" s="1"/>
  <c r="AU47" i="2"/>
  <c r="AW47" i="2"/>
  <c r="A49" i="2"/>
  <c r="A35" i="3"/>
  <c r="H48" i="2"/>
  <c r="G48" i="2"/>
  <c r="I48" i="2"/>
  <c r="E48" i="2"/>
  <c r="B48" i="2"/>
  <c r="D48" i="2"/>
  <c r="C48" i="2"/>
  <c r="F48" i="2"/>
  <c r="AZ33" i="3"/>
  <c r="BA33" i="3" s="1"/>
  <c r="AD32" i="3"/>
  <c r="L46" i="2"/>
  <c r="O46" i="2"/>
  <c r="P46" i="2" s="1"/>
  <c r="AE34" i="3"/>
  <c r="AF34" i="3" s="1"/>
  <c r="AG34" i="3" s="1"/>
  <c r="AC47" i="2"/>
  <c r="AE47" i="2"/>
  <c r="AQ47" i="2"/>
  <c r="AU34" i="3"/>
  <c r="AV34" i="3" s="1"/>
  <c r="AW34" i="3" s="1"/>
  <c r="AO47" i="2"/>
  <c r="AM46" i="2"/>
  <c r="AN46" i="2" s="1"/>
  <c r="AJ33" i="3"/>
  <c r="AK33" i="3" s="1"/>
  <c r="BH33" i="3"/>
  <c r="BI33" i="3" s="1"/>
  <c r="AA46" i="2"/>
  <c r="AB46" i="2" s="1"/>
  <c r="BG46" i="2"/>
  <c r="W34" i="3"/>
  <c r="X34" i="3" s="1"/>
  <c r="Y34" i="3" s="1"/>
  <c r="W47" i="2"/>
  <c r="Y47" i="2"/>
  <c r="T33" i="3"/>
  <c r="U33" i="3" s="1"/>
  <c r="AT33" i="12" l="1"/>
  <c r="AH33" i="10"/>
  <c r="P134" i="10" s="1"/>
  <c r="V33" i="10"/>
  <c r="A42" i="19"/>
  <c r="I41" i="19"/>
  <c r="K41" i="19"/>
  <c r="H41" i="19"/>
  <c r="L41" i="19"/>
  <c r="J41" i="19"/>
  <c r="E41" i="19"/>
  <c r="B41" i="19"/>
  <c r="F41" i="19"/>
  <c r="C41" i="19"/>
  <c r="D41" i="19"/>
  <c r="M133" i="3"/>
  <c r="N133" i="3" s="1"/>
  <c r="Z33" i="12"/>
  <c r="L134" i="12" s="1"/>
  <c r="J33" i="12"/>
  <c r="D134" i="12" s="1"/>
  <c r="BB33" i="12"/>
  <c r="I133" i="12"/>
  <c r="J133" i="12" s="1"/>
  <c r="BJ33" i="10"/>
  <c r="M133" i="10"/>
  <c r="N133" i="10" s="1"/>
  <c r="AD33" i="12"/>
  <c r="Y133" i="3"/>
  <c r="Z133" i="3" s="1"/>
  <c r="AT33" i="10"/>
  <c r="R33" i="10"/>
  <c r="H134" i="10" s="1"/>
  <c r="O35" i="12"/>
  <c r="P35" i="12" s="1"/>
  <c r="Q35" i="12" s="1"/>
  <c r="O35" i="10"/>
  <c r="P35" i="10" s="1"/>
  <c r="Q35" i="10" s="1"/>
  <c r="BK35" i="12"/>
  <c r="BL35" i="12" s="1"/>
  <c r="BM35" i="12" s="1"/>
  <c r="BK35" i="10"/>
  <c r="BL35" i="10" s="1"/>
  <c r="BM35" i="10" s="1"/>
  <c r="A36" i="12"/>
  <c r="A36" i="10"/>
  <c r="BH34" i="12"/>
  <c r="BI34" i="12" s="1"/>
  <c r="BJ34" i="12" s="1"/>
  <c r="AB34" i="10"/>
  <c r="AC34" i="10" s="1"/>
  <c r="AH34" i="10" s="1"/>
  <c r="P135" i="10" s="1"/>
  <c r="K134" i="12"/>
  <c r="M134" i="12" s="1"/>
  <c r="N134" i="12" s="1"/>
  <c r="K134" i="10"/>
  <c r="M134" i="10" s="1"/>
  <c r="N134" i="10" s="1"/>
  <c r="K134" i="3"/>
  <c r="W35" i="12"/>
  <c r="X35" i="12" s="1"/>
  <c r="Y35" i="12" s="1"/>
  <c r="W35" i="10"/>
  <c r="X35" i="10" s="1"/>
  <c r="Y35" i="10" s="1"/>
  <c r="AU35" i="12"/>
  <c r="AV35" i="12" s="1"/>
  <c r="AW35" i="12" s="1"/>
  <c r="AU35" i="10"/>
  <c r="AV35" i="10" s="1"/>
  <c r="AW35" i="10" s="1"/>
  <c r="O134" i="12"/>
  <c r="Q134" i="12" s="1"/>
  <c r="R134" i="12" s="1"/>
  <c r="O134" i="10"/>
  <c r="Q134" i="10" s="1"/>
  <c r="R134" i="10" s="1"/>
  <c r="O134" i="3"/>
  <c r="T34" i="12"/>
  <c r="U34" i="12" s="1"/>
  <c r="V34" i="12" s="1"/>
  <c r="L34" i="12"/>
  <c r="M34" i="12" s="1"/>
  <c r="N34" i="12" s="1"/>
  <c r="D34" i="10"/>
  <c r="E34" i="10" s="1"/>
  <c r="J34" i="10" s="1"/>
  <c r="D135" i="10" s="1"/>
  <c r="AR34" i="10"/>
  <c r="AS34" i="10" s="1"/>
  <c r="AT34" i="10" s="1"/>
  <c r="I133" i="3"/>
  <c r="J133" i="3" s="1"/>
  <c r="AC133" i="3"/>
  <c r="AD133" i="3" s="1"/>
  <c r="K35" i="12"/>
  <c r="AA35" i="12"/>
  <c r="AY35" i="12"/>
  <c r="AQ35" i="12"/>
  <c r="BG35" i="12"/>
  <c r="C35" i="12"/>
  <c r="AI35" i="12"/>
  <c r="S35" i="12"/>
  <c r="BF33" i="10"/>
  <c r="AB134" i="10" s="1"/>
  <c r="U133" i="10"/>
  <c r="V133" i="10" s="1"/>
  <c r="G35" i="12"/>
  <c r="H35" i="12" s="1"/>
  <c r="I35" i="12" s="1"/>
  <c r="G35" i="10"/>
  <c r="H35" i="10" s="1"/>
  <c r="I35" i="10" s="1"/>
  <c r="AZ34" i="12"/>
  <c r="BA34" i="12" s="1"/>
  <c r="BB34" i="12" s="1"/>
  <c r="BH34" i="10"/>
  <c r="BI34" i="10" s="1"/>
  <c r="BN34" i="10" s="1"/>
  <c r="AF135" i="10" s="1"/>
  <c r="F33" i="10"/>
  <c r="AL33" i="12"/>
  <c r="E133" i="3"/>
  <c r="F133" i="3" s="1"/>
  <c r="BC35" i="12"/>
  <c r="BD35" i="12" s="1"/>
  <c r="BE35" i="12" s="1"/>
  <c r="BC35" i="10"/>
  <c r="BD35" i="10" s="1"/>
  <c r="BE35" i="10" s="1"/>
  <c r="AJ34" i="12"/>
  <c r="AK34" i="12" s="1"/>
  <c r="AL34" i="12" s="1"/>
  <c r="L34" i="10"/>
  <c r="M34" i="10" s="1"/>
  <c r="R34" i="10" s="1"/>
  <c r="H135" i="10" s="1"/>
  <c r="C134" i="12"/>
  <c r="C134" i="10"/>
  <c r="E134" i="10" s="1"/>
  <c r="F134" i="10" s="1"/>
  <c r="C134" i="3"/>
  <c r="AM35" i="12"/>
  <c r="AN35" i="12" s="1"/>
  <c r="AO35" i="12" s="1"/>
  <c r="AM35" i="10"/>
  <c r="AN35" i="10" s="1"/>
  <c r="AO35" i="10" s="1"/>
  <c r="AE35" i="12"/>
  <c r="AF35" i="12" s="1"/>
  <c r="AG35" i="12" s="1"/>
  <c r="AE35" i="10"/>
  <c r="AF35" i="10" s="1"/>
  <c r="AG35" i="10" s="1"/>
  <c r="W134" i="12"/>
  <c r="Y134" i="12" s="1"/>
  <c r="Z134" i="12" s="1"/>
  <c r="W134" i="10"/>
  <c r="Y134" i="10" s="1"/>
  <c r="Z134" i="10" s="1"/>
  <c r="W134" i="3"/>
  <c r="D34" i="12"/>
  <c r="E34" i="12" s="1"/>
  <c r="F34" i="12" s="1"/>
  <c r="AB34" i="12"/>
  <c r="AC34" i="12" s="1"/>
  <c r="AH34" i="12" s="1"/>
  <c r="P135" i="12" s="1"/>
  <c r="AJ34" i="10"/>
  <c r="AK34" i="10" s="1"/>
  <c r="AL34" i="10" s="1"/>
  <c r="AZ34" i="10"/>
  <c r="BA34" i="10" s="1"/>
  <c r="BB34" i="10" s="1"/>
  <c r="BJ33" i="12"/>
  <c r="Q133" i="3"/>
  <c r="R133" i="3" s="1"/>
  <c r="E133" i="10"/>
  <c r="F133" i="10" s="1"/>
  <c r="S134" i="12"/>
  <c r="U134" i="12" s="1"/>
  <c r="V134" i="12" s="1"/>
  <c r="S134" i="10"/>
  <c r="U134" i="10" s="1"/>
  <c r="V134" i="10" s="1"/>
  <c r="S134" i="3"/>
  <c r="G134" i="12"/>
  <c r="I134" i="12" s="1"/>
  <c r="J134" i="12" s="1"/>
  <c r="G134" i="10"/>
  <c r="I134" i="10" s="1"/>
  <c r="J134" i="10" s="1"/>
  <c r="G134" i="3"/>
  <c r="AE134" i="12"/>
  <c r="AG134" i="12" s="1"/>
  <c r="AH134" i="12" s="1"/>
  <c r="AE134" i="10"/>
  <c r="AG134" i="10" s="1"/>
  <c r="AH134" i="10" s="1"/>
  <c r="AE134" i="3"/>
  <c r="AR34" i="12"/>
  <c r="AS34" i="12" s="1"/>
  <c r="AX34" i="12" s="1"/>
  <c r="X135" i="12" s="1"/>
  <c r="T34" i="10"/>
  <c r="U34" i="10" s="1"/>
  <c r="Z34" i="10" s="1"/>
  <c r="L135" i="10" s="1"/>
  <c r="AA134" i="12"/>
  <c r="AC134" i="12" s="1"/>
  <c r="AD134" i="12" s="1"/>
  <c r="AA134" i="10"/>
  <c r="AA134" i="3"/>
  <c r="C35" i="10"/>
  <c r="AQ35" i="10"/>
  <c r="AI35" i="10"/>
  <c r="K35" i="10"/>
  <c r="AY35" i="10"/>
  <c r="S35" i="10"/>
  <c r="BG35" i="10"/>
  <c r="AA35" i="10"/>
  <c r="U133" i="3"/>
  <c r="V133" i="3" s="1"/>
  <c r="AH33" i="3"/>
  <c r="P134" i="3" s="1"/>
  <c r="Z33" i="3"/>
  <c r="L134" i="3" s="1"/>
  <c r="N33" i="3"/>
  <c r="AL33" i="3"/>
  <c r="J33" i="3"/>
  <c r="D134" i="3" s="1"/>
  <c r="BJ33" i="3"/>
  <c r="BF33" i="3"/>
  <c r="AB134" i="3" s="1"/>
  <c r="AT33" i="3"/>
  <c r="BJ34" i="3"/>
  <c r="V33" i="3"/>
  <c r="F33" i="3"/>
  <c r="U47" i="2"/>
  <c r="V47" i="2" s="1"/>
  <c r="AD33" i="3"/>
  <c r="AX33" i="3"/>
  <c r="X134" i="3" s="1"/>
  <c r="AS47" i="2"/>
  <c r="AT47" i="2" s="1"/>
  <c r="AP33" i="3"/>
  <c r="T134" i="3" s="1"/>
  <c r="BB33" i="3"/>
  <c r="AY47" i="2"/>
  <c r="AZ47" i="2" s="1"/>
  <c r="BN33" i="3"/>
  <c r="AF134" i="3" s="1"/>
  <c r="O35" i="3"/>
  <c r="P35" i="3" s="1"/>
  <c r="Q35" i="3" s="1"/>
  <c r="Q48" i="2"/>
  <c r="S48" i="2"/>
  <c r="AA47" i="2"/>
  <c r="AB47" i="2" s="1"/>
  <c r="W35" i="3"/>
  <c r="X35" i="3" s="1"/>
  <c r="Y35" i="3" s="1"/>
  <c r="W48" i="2"/>
  <c r="Y48" i="2"/>
  <c r="AQ48" i="2"/>
  <c r="AU35" i="3"/>
  <c r="AV35" i="3" s="1"/>
  <c r="AW35" i="3" s="1"/>
  <c r="AO48" i="2"/>
  <c r="R33" i="3"/>
  <c r="H134" i="3" s="1"/>
  <c r="AJ34" i="3"/>
  <c r="AK34" i="3" s="1"/>
  <c r="AB34" i="3"/>
  <c r="AC34" i="3" s="1"/>
  <c r="AM47" i="2"/>
  <c r="AN47" i="2" s="1"/>
  <c r="G35" i="3"/>
  <c r="H35" i="3" s="1"/>
  <c r="I35" i="3" s="1"/>
  <c r="K48" i="2"/>
  <c r="M48" i="2"/>
  <c r="N48" i="2" s="1"/>
  <c r="BC35" i="3"/>
  <c r="BD35" i="3" s="1"/>
  <c r="BE35" i="3" s="1"/>
  <c r="AU48" i="2"/>
  <c r="AW48" i="2"/>
  <c r="D34" i="3"/>
  <c r="E34" i="3" s="1"/>
  <c r="E29" i="22" s="1"/>
  <c r="AG47" i="2"/>
  <c r="AH47" i="2" s="1"/>
  <c r="AM35" i="3"/>
  <c r="AN35" i="3" s="1"/>
  <c r="AO35" i="3" s="1"/>
  <c r="AI48" i="2"/>
  <c r="AK48" i="2"/>
  <c r="AE35" i="3"/>
  <c r="AF35" i="3" s="1"/>
  <c r="AG35" i="3" s="1"/>
  <c r="AC48" i="2"/>
  <c r="AE48" i="2"/>
  <c r="AI35" i="3"/>
  <c r="BG35" i="3"/>
  <c r="K35" i="3"/>
  <c r="AY35" i="3"/>
  <c r="AA35" i="3"/>
  <c r="AQ35" i="3"/>
  <c r="C35" i="3"/>
  <c r="S35" i="3"/>
  <c r="L47" i="2"/>
  <c r="O47" i="2"/>
  <c r="P47" i="2" s="1"/>
  <c r="T34" i="3"/>
  <c r="U34" i="3" s="1"/>
  <c r="L34" i="3"/>
  <c r="M34" i="3" s="1"/>
  <c r="BE47" i="2"/>
  <c r="BF47" i="2" s="1"/>
  <c r="BK35" i="3"/>
  <c r="BL35" i="3" s="1"/>
  <c r="BM35" i="3" s="1"/>
  <c r="BA48" i="2"/>
  <c r="BC48" i="2"/>
  <c r="A50" i="2"/>
  <c r="A36" i="3"/>
  <c r="H49" i="2"/>
  <c r="I49" i="2"/>
  <c r="D49" i="2"/>
  <c r="G49" i="2"/>
  <c r="F49" i="2"/>
  <c r="C49" i="2"/>
  <c r="B49" i="2"/>
  <c r="E49" i="2"/>
  <c r="AZ34" i="3"/>
  <c r="BA34" i="3" s="1"/>
  <c r="AR34" i="3"/>
  <c r="AS34" i="3" s="1"/>
  <c r="BN34" i="3"/>
  <c r="AF135" i="3" s="1"/>
  <c r="E134" i="12" l="1"/>
  <c r="F134" i="12" s="1"/>
  <c r="J34" i="12"/>
  <c r="D135" i="12" s="1"/>
  <c r="AT34" i="12"/>
  <c r="BJ34" i="10"/>
  <c r="A43" i="19"/>
  <c r="H42" i="19"/>
  <c r="L42" i="19"/>
  <c r="J42" i="19"/>
  <c r="K42" i="19"/>
  <c r="I42" i="19"/>
  <c r="D42" i="19"/>
  <c r="E42" i="19"/>
  <c r="B42" i="19"/>
  <c r="F42" i="19"/>
  <c r="C42" i="19"/>
  <c r="V34" i="10"/>
  <c r="BF34" i="10"/>
  <c r="AB135" i="10" s="1"/>
  <c r="AD34" i="12"/>
  <c r="AX34" i="10"/>
  <c r="X135" i="10" s="1"/>
  <c r="AP34" i="12"/>
  <c r="T135" i="12" s="1"/>
  <c r="R34" i="12"/>
  <c r="H135" i="12" s="1"/>
  <c r="N34" i="10"/>
  <c r="I134" i="3"/>
  <c r="J134" i="3" s="1"/>
  <c r="M134" i="3"/>
  <c r="N134" i="3" s="1"/>
  <c r="O36" i="12"/>
  <c r="P36" i="12" s="1"/>
  <c r="Q36" i="12" s="1"/>
  <c r="O36" i="10"/>
  <c r="P36" i="10" s="1"/>
  <c r="Q36" i="10" s="1"/>
  <c r="W135" i="12"/>
  <c r="Y135" i="12" s="1"/>
  <c r="Z135" i="12" s="1"/>
  <c r="W135" i="10"/>
  <c r="Y135" i="10" s="1"/>
  <c r="Z135" i="10" s="1"/>
  <c r="W135" i="3"/>
  <c r="AB35" i="10"/>
  <c r="AC35" i="10" s="1"/>
  <c r="AD35" i="10" s="1"/>
  <c r="AC134" i="3"/>
  <c r="AD134" i="3" s="1"/>
  <c r="E134" i="3"/>
  <c r="F134" i="3" s="1"/>
  <c r="AM36" i="12"/>
  <c r="AN36" i="12" s="1"/>
  <c r="AO36" i="12" s="1"/>
  <c r="AM36" i="10"/>
  <c r="AN36" i="10" s="1"/>
  <c r="AO36" i="10" s="1"/>
  <c r="BC36" i="12"/>
  <c r="BD36" i="12" s="1"/>
  <c r="BE36" i="12" s="1"/>
  <c r="BC36" i="10"/>
  <c r="BD36" i="10" s="1"/>
  <c r="BE36" i="10" s="1"/>
  <c r="AA135" i="12"/>
  <c r="AA135" i="10"/>
  <c r="AC135" i="10" s="1"/>
  <c r="AD135" i="10" s="1"/>
  <c r="AA135" i="3"/>
  <c r="BH35" i="10"/>
  <c r="BI35" i="10" s="1"/>
  <c r="BJ35" i="10" s="1"/>
  <c r="AJ35" i="10"/>
  <c r="AK35" i="10" s="1"/>
  <c r="AL35" i="10" s="1"/>
  <c r="AC134" i="10"/>
  <c r="AD134" i="10" s="1"/>
  <c r="AG134" i="3"/>
  <c r="AH134" i="3" s="1"/>
  <c r="AP34" i="10"/>
  <c r="T135" i="10" s="1"/>
  <c r="Y134" i="3"/>
  <c r="Z134" i="3" s="1"/>
  <c r="BF34" i="12"/>
  <c r="AB135" i="12" s="1"/>
  <c r="D35" i="12"/>
  <c r="E35" i="12" s="1"/>
  <c r="J35" i="12" s="1"/>
  <c r="D136" i="12" s="1"/>
  <c r="AB35" i="12"/>
  <c r="AC35" i="12" s="1"/>
  <c r="AH35" i="12" s="1"/>
  <c r="P136" i="12" s="1"/>
  <c r="F34" i="10"/>
  <c r="Q134" i="3"/>
  <c r="R134" i="3" s="1"/>
  <c r="BN34" i="12"/>
  <c r="AF135" i="12" s="1"/>
  <c r="AE36" i="12"/>
  <c r="AF36" i="12" s="1"/>
  <c r="AG36" i="12" s="1"/>
  <c r="AE36" i="10"/>
  <c r="AF36" i="10" s="1"/>
  <c r="AG36" i="10" s="1"/>
  <c r="C135" i="12"/>
  <c r="E135" i="12" s="1"/>
  <c r="F135" i="12" s="1"/>
  <c r="C135" i="10"/>
  <c r="E135" i="10" s="1"/>
  <c r="F135" i="10" s="1"/>
  <c r="C135" i="3"/>
  <c r="S135" i="12"/>
  <c r="S135" i="10"/>
  <c r="S135" i="3"/>
  <c r="T35" i="10"/>
  <c r="U35" i="10" s="1"/>
  <c r="Z35" i="10" s="1"/>
  <c r="L136" i="10" s="1"/>
  <c r="AR35" i="10"/>
  <c r="AS35" i="10" s="1"/>
  <c r="AX35" i="10" s="1"/>
  <c r="X136" i="10" s="1"/>
  <c r="BH35" i="12"/>
  <c r="BI35" i="12" s="1"/>
  <c r="BJ35" i="12" s="1"/>
  <c r="L35" i="12"/>
  <c r="M35" i="12" s="1"/>
  <c r="N35" i="12" s="1"/>
  <c r="Z34" i="12"/>
  <c r="L135" i="12" s="1"/>
  <c r="AU36" i="12"/>
  <c r="AV36" i="12" s="1"/>
  <c r="AW36" i="12" s="1"/>
  <c r="AU36" i="10"/>
  <c r="AV36" i="10" s="1"/>
  <c r="AW36" i="10" s="1"/>
  <c r="O135" i="12"/>
  <c r="Q135" i="12" s="1"/>
  <c r="R135" i="12" s="1"/>
  <c r="O135" i="10"/>
  <c r="Q135" i="10" s="1"/>
  <c r="R135" i="10" s="1"/>
  <c r="O135" i="3"/>
  <c r="G36" i="12"/>
  <c r="H36" i="12" s="1"/>
  <c r="I36" i="12" s="1"/>
  <c r="G36" i="10"/>
  <c r="H36" i="10" s="1"/>
  <c r="I36" i="10" s="1"/>
  <c r="W36" i="12"/>
  <c r="X36" i="12" s="1"/>
  <c r="Y36" i="12" s="1"/>
  <c r="W36" i="10"/>
  <c r="X36" i="10" s="1"/>
  <c r="Y36" i="10" s="1"/>
  <c r="A37" i="12"/>
  <c r="A37" i="10"/>
  <c r="AE135" i="12"/>
  <c r="AG135" i="12" s="1"/>
  <c r="AH135" i="12" s="1"/>
  <c r="AE135" i="10"/>
  <c r="AG135" i="10" s="1"/>
  <c r="AH135" i="10" s="1"/>
  <c r="AE135" i="3"/>
  <c r="AG135" i="3" s="1"/>
  <c r="AH135" i="3" s="1"/>
  <c r="G135" i="12"/>
  <c r="I135" i="12" s="1"/>
  <c r="J135" i="12" s="1"/>
  <c r="G135" i="10"/>
  <c r="I135" i="10" s="1"/>
  <c r="J135" i="10" s="1"/>
  <c r="G135" i="3"/>
  <c r="AZ35" i="10"/>
  <c r="BA35" i="10" s="1"/>
  <c r="BF35" i="10" s="1"/>
  <c r="AB136" i="10" s="1"/>
  <c r="D35" i="10"/>
  <c r="E35" i="10" s="1"/>
  <c r="F35" i="10" s="1"/>
  <c r="U134" i="3"/>
  <c r="V134" i="3" s="1"/>
  <c r="T35" i="12"/>
  <c r="U35" i="12" s="1"/>
  <c r="Z35" i="12" s="1"/>
  <c r="L136" i="12" s="1"/>
  <c r="AR35" i="12"/>
  <c r="AS35" i="12" s="1"/>
  <c r="AT35" i="12" s="1"/>
  <c r="AX35" i="12"/>
  <c r="X136" i="12" s="1"/>
  <c r="AD34" i="10"/>
  <c r="AI36" i="10"/>
  <c r="S36" i="10"/>
  <c r="AQ36" i="10"/>
  <c r="C36" i="10"/>
  <c r="BG36" i="10"/>
  <c r="AA36" i="10"/>
  <c r="AY36" i="10"/>
  <c r="K36" i="10"/>
  <c r="BK36" i="12"/>
  <c r="BL36" i="12" s="1"/>
  <c r="BM36" i="12" s="1"/>
  <c r="BK36" i="10"/>
  <c r="BL36" i="10" s="1"/>
  <c r="BM36" i="10" s="1"/>
  <c r="K135" i="12"/>
  <c r="K135" i="10"/>
  <c r="M135" i="10" s="1"/>
  <c r="N135" i="10" s="1"/>
  <c r="K135" i="3"/>
  <c r="L35" i="10"/>
  <c r="M35" i="10" s="1"/>
  <c r="R35" i="10" s="1"/>
  <c r="H136" i="10" s="1"/>
  <c r="AJ35" i="12"/>
  <c r="AK35" i="12" s="1"/>
  <c r="AP35" i="12" s="1"/>
  <c r="T136" i="12" s="1"/>
  <c r="AZ35" i="12"/>
  <c r="BA35" i="12" s="1"/>
  <c r="BF35" i="12" s="1"/>
  <c r="AB136" i="12" s="1"/>
  <c r="K36" i="12"/>
  <c r="C36" i="12"/>
  <c r="AI36" i="12"/>
  <c r="AY36" i="12"/>
  <c r="S36" i="12"/>
  <c r="BG36" i="12"/>
  <c r="AA36" i="12"/>
  <c r="AQ36" i="12"/>
  <c r="AL34" i="3"/>
  <c r="BB34" i="3"/>
  <c r="Z34" i="3"/>
  <c r="L135" i="3" s="1"/>
  <c r="AX34" i="3"/>
  <c r="X135" i="3" s="1"/>
  <c r="Y135" i="3" s="1"/>
  <c r="Z135" i="3" s="1"/>
  <c r="N34" i="3"/>
  <c r="J34" i="3"/>
  <c r="D135" i="3" s="1"/>
  <c r="AH34" i="3"/>
  <c r="P135" i="3" s="1"/>
  <c r="AS48" i="2"/>
  <c r="AT48" i="2" s="1"/>
  <c r="BE48" i="2"/>
  <c r="BF48" i="2" s="1"/>
  <c r="R34" i="3"/>
  <c r="H135" i="3" s="1"/>
  <c r="AP34" i="3"/>
  <c r="T135" i="3" s="1"/>
  <c r="AD34" i="3"/>
  <c r="AA48" i="2"/>
  <c r="AB48" i="2" s="1"/>
  <c r="U48" i="2"/>
  <c r="V48" i="2" s="1"/>
  <c r="V34" i="3"/>
  <c r="BC36" i="3"/>
  <c r="BD36" i="3" s="1"/>
  <c r="BE36" i="3" s="1"/>
  <c r="AU49" i="2"/>
  <c r="AW49" i="2"/>
  <c r="AT34" i="3"/>
  <c r="W36" i="3"/>
  <c r="X36" i="3" s="1"/>
  <c r="Y36" i="3" s="1"/>
  <c r="W49" i="2"/>
  <c r="Y49" i="2"/>
  <c r="A51" i="2"/>
  <c r="A37" i="3"/>
  <c r="I50" i="2"/>
  <c r="G50" i="2"/>
  <c r="E50" i="2"/>
  <c r="H50" i="2"/>
  <c r="D50" i="2"/>
  <c r="F50" i="2"/>
  <c r="C50" i="2"/>
  <c r="B50" i="2"/>
  <c r="BF34" i="3"/>
  <c r="AB135" i="3" s="1"/>
  <c r="AJ35" i="3"/>
  <c r="AK35" i="3" s="1"/>
  <c r="O36" i="3"/>
  <c r="P36" i="3" s="1"/>
  <c r="Q36" i="3" s="1"/>
  <c r="Q49" i="2"/>
  <c r="S49" i="2"/>
  <c r="BK36" i="3"/>
  <c r="BL36" i="3" s="1"/>
  <c r="BM36" i="3" s="1"/>
  <c r="BA49" i="2"/>
  <c r="BC49" i="2"/>
  <c r="T35" i="3"/>
  <c r="U35" i="3" s="1"/>
  <c r="AZ35" i="3"/>
  <c r="BA35" i="3" s="1"/>
  <c r="AG48" i="2"/>
  <c r="AH48" i="2" s="1"/>
  <c r="AM48" i="2"/>
  <c r="AN48" i="2" s="1"/>
  <c r="F34" i="3"/>
  <c r="BG48" i="2"/>
  <c r="D35" i="3"/>
  <c r="E35" i="3" s="1"/>
  <c r="E30" i="22" s="1"/>
  <c r="L48" i="2"/>
  <c r="O48" i="2"/>
  <c r="P48" i="2" s="1"/>
  <c r="AM36" i="3"/>
  <c r="AN36" i="3" s="1"/>
  <c r="AO36" i="3" s="1"/>
  <c r="AI49" i="2"/>
  <c r="AK49" i="2"/>
  <c r="L35" i="3"/>
  <c r="M35" i="3" s="1"/>
  <c r="AE36" i="3"/>
  <c r="AF36" i="3" s="1"/>
  <c r="AG36" i="3" s="1"/>
  <c r="AC49" i="2"/>
  <c r="AE49" i="2"/>
  <c r="AQ49" i="2"/>
  <c r="AU36" i="3"/>
  <c r="AV36" i="3" s="1"/>
  <c r="AW36" i="3" s="1"/>
  <c r="AO49" i="2"/>
  <c r="C36" i="3"/>
  <c r="BG36" i="3"/>
  <c r="K36" i="3"/>
  <c r="S36" i="3"/>
  <c r="AA36" i="3"/>
  <c r="AI36" i="3"/>
  <c r="AQ36" i="3"/>
  <c r="AY36" i="3"/>
  <c r="AR35" i="3"/>
  <c r="AS35" i="3" s="1"/>
  <c r="BH35" i="3"/>
  <c r="BI35" i="3" s="1"/>
  <c r="AY48" i="2"/>
  <c r="AZ48" i="2" s="1"/>
  <c r="G36" i="3"/>
  <c r="H36" i="3" s="1"/>
  <c r="I36" i="3" s="1"/>
  <c r="K49" i="2"/>
  <c r="M49" i="2"/>
  <c r="N49" i="2" s="1"/>
  <c r="BG47" i="2"/>
  <c r="AB35" i="3"/>
  <c r="AC35" i="3" s="1"/>
  <c r="M135" i="12" l="1"/>
  <c r="N135" i="12" s="1"/>
  <c r="U135" i="10"/>
  <c r="V135" i="10" s="1"/>
  <c r="U135" i="12"/>
  <c r="V135" i="12" s="1"/>
  <c r="BN35" i="12"/>
  <c r="AF136" i="12" s="1"/>
  <c r="A44" i="19"/>
  <c r="K43" i="19"/>
  <c r="I43" i="19"/>
  <c r="J43" i="19"/>
  <c r="H43" i="19"/>
  <c r="L43" i="19"/>
  <c r="C43" i="19"/>
  <c r="D43" i="19"/>
  <c r="E43" i="19"/>
  <c r="B43" i="19"/>
  <c r="F43" i="19"/>
  <c r="R35" i="12"/>
  <c r="H136" i="12" s="1"/>
  <c r="V35" i="12"/>
  <c r="BN35" i="10"/>
  <c r="AF136" i="10" s="1"/>
  <c r="J35" i="10"/>
  <c r="D136" i="10" s="1"/>
  <c r="AD35" i="12"/>
  <c r="AH35" i="10"/>
  <c r="P136" i="10" s="1"/>
  <c r="AC135" i="12"/>
  <c r="AD135" i="12" s="1"/>
  <c r="M135" i="3"/>
  <c r="N135" i="3" s="1"/>
  <c r="AL35" i="12"/>
  <c r="V35" i="10"/>
  <c r="G37" i="12"/>
  <c r="H37" i="12" s="1"/>
  <c r="I37" i="12" s="1"/>
  <c r="G37" i="10"/>
  <c r="H37" i="10" s="1"/>
  <c r="I37" i="10" s="1"/>
  <c r="W136" i="12"/>
  <c r="Y136" i="12" s="1"/>
  <c r="Z136" i="12" s="1"/>
  <c r="W136" i="10"/>
  <c r="Y136" i="10" s="1"/>
  <c r="Z136" i="10" s="1"/>
  <c r="W136" i="3"/>
  <c r="AR36" i="12"/>
  <c r="AS36" i="12" s="1"/>
  <c r="AT36" i="12" s="1"/>
  <c r="BB35" i="12"/>
  <c r="T36" i="10"/>
  <c r="U36" i="10" s="1"/>
  <c r="V36" i="10" s="1"/>
  <c r="O136" i="12"/>
  <c r="Q136" i="12" s="1"/>
  <c r="R136" i="12" s="1"/>
  <c r="O136" i="10"/>
  <c r="O136" i="3"/>
  <c r="O37" i="12"/>
  <c r="P37" i="12" s="1"/>
  <c r="Q37" i="12" s="1"/>
  <c r="O37" i="10"/>
  <c r="P37" i="10" s="1"/>
  <c r="Q37" i="10" s="1"/>
  <c r="AE37" i="12"/>
  <c r="AF37" i="12" s="1"/>
  <c r="AG37" i="12" s="1"/>
  <c r="AE37" i="10"/>
  <c r="AF37" i="10" s="1"/>
  <c r="AG37" i="10" s="1"/>
  <c r="A38" i="12"/>
  <c r="A38" i="10"/>
  <c r="U135" i="3"/>
  <c r="V135" i="3" s="1"/>
  <c r="Q135" i="3"/>
  <c r="R135" i="3" s="1"/>
  <c r="AB36" i="12"/>
  <c r="AC36" i="12" s="1"/>
  <c r="AH36" i="12" s="1"/>
  <c r="P137" i="12" s="1"/>
  <c r="AJ36" i="12"/>
  <c r="AK36" i="12" s="1"/>
  <c r="AP36" i="12" s="1"/>
  <c r="T137" i="12" s="1"/>
  <c r="BH36" i="10"/>
  <c r="BI36" i="10" s="1"/>
  <c r="BN36" i="10" s="1"/>
  <c r="AF137" i="10" s="1"/>
  <c r="AJ36" i="10"/>
  <c r="AK36" i="10" s="1"/>
  <c r="AP36" i="10" s="1"/>
  <c r="T137" i="10" s="1"/>
  <c r="I135" i="3"/>
  <c r="J135" i="3" s="1"/>
  <c r="AA136" i="12"/>
  <c r="AC136" i="12" s="1"/>
  <c r="AD136" i="12" s="1"/>
  <c r="AA136" i="10"/>
  <c r="AC136" i="10" s="1"/>
  <c r="AD136" i="10" s="1"/>
  <c r="AA136" i="3"/>
  <c r="AU37" i="12"/>
  <c r="AV37" i="12" s="1"/>
  <c r="AW37" i="12" s="1"/>
  <c r="AU37" i="10"/>
  <c r="AV37" i="10" s="1"/>
  <c r="AW37" i="10" s="1"/>
  <c r="N35" i="10"/>
  <c r="D36" i="10"/>
  <c r="E36" i="10" s="1"/>
  <c r="J36" i="10" s="1"/>
  <c r="D137" i="10" s="1"/>
  <c r="BB35" i="10"/>
  <c r="AT35" i="10"/>
  <c r="F35" i="12"/>
  <c r="AP35" i="10"/>
  <c r="T136" i="10" s="1"/>
  <c r="AM37" i="12"/>
  <c r="AN37" i="12" s="1"/>
  <c r="AO37" i="12" s="1"/>
  <c r="AM37" i="10"/>
  <c r="AN37" i="10" s="1"/>
  <c r="AO37" i="10" s="1"/>
  <c r="G136" i="12"/>
  <c r="G136" i="10"/>
  <c r="I136" i="10" s="1"/>
  <c r="J136" i="10" s="1"/>
  <c r="G136" i="3"/>
  <c r="BH36" i="12"/>
  <c r="BI36" i="12" s="1"/>
  <c r="BN36" i="12" s="1"/>
  <c r="AF137" i="12" s="1"/>
  <c r="D36" i="12"/>
  <c r="E36" i="12" s="1"/>
  <c r="F36" i="12" s="1"/>
  <c r="L36" i="10"/>
  <c r="M36" i="10" s="1"/>
  <c r="N36" i="10" s="1"/>
  <c r="C136" i="12"/>
  <c r="E136" i="12" s="1"/>
  <c r="F136" i="12" s="1"/>
  <c r="C136" i="10"/>
  <c r="E136" i="10" s="1"/>
  <c r="F136" i="10" s="1"/>
  <c r="C136" i="3"/>
  <c r="W37" i="12"/>
  <c r="X37" i="12" s="1"/>
  <c r="Y37" i="12" s="1"/>
  <c r="W37" i="10"/>
  <c r="X37" i="10" s="1"/>
  <c r="Y37" i="10" s="1"/>
  <c r="BK37" i="12"/>
  <c r="BL37" i="12" s="1"/>
  <c r="BM37" i="12" s="1"/>
  <c r="BK37" i="10"/>
  <c r="BL37" i="10" s="1"/>
  <c r="BM37" i="10" s="1"/>
  <c r="K136" i="12"/>
  <c r="M136" i="12" s="1"/>
  <c r="N136" i="12" s="1"/>
  <c r="K136" i="10"/>
  <c r="M136" i="10" s="1"/>
  <c r="N136" i="10" s="1"/>
  <c r="K136" i="3"/>
  <c r="AE136" i="12"/>
  <c r="AG136" i="12" s="1"/>
  <c r="AH136" i="12" s="1"/>
  <c r="AE136" i="10"/>
  <c r="AG136" i="10" s="1"/>
  <c r="AH136" i="10" s="1"/>
  <c r="AE136" i="3"/>
  <c r="T36" i="12"/>
  <c r="U36" i="12" s="1"/>
  <c r="V36" i="12" s="1"/>
  <c r="L36" i="12"/>
  <c r="M36" i="12" s="1"/>
  <c r="R36" i="12" s="1"/>
  <c r="H137" i="12" s="1"/>
  <c r="AZ36" i="10"/>
  <c r="BA36" i="10" s="1"/>
  <c r="BB36" i="10" s="1"/>
  <c r="AR36" i="10"/>
  <c r="AS36" i="10" s="1"/>
  <c r="AX36" i="10" s="1"/>
  <c r="X137" i="10" s="1"/>
  <c r="S37" i="10"/>
  <c r="C37" i="10"/>
  <c r="AY37" i="10"/>
  <c r="BG37" i="10"/>
  <c r="AA37" i="10"/>
  <c r="AQ37" i="10"/>
  <c r="AI37" i="10"/>
  <c r="K37" i="10"/>
  <c r="E135" i="3"/>
  <c r="F135" i="3" s="1"/>
  <c r="S136" i="12"/>
  <c r="U136" i="12" s="1"/>
  <c r="V136" i="12" s="1"/>
  <c r="S136" i="10"/>
  <c r="S136" i="3"/>
  <c r="BC37" i="12"/>
  <c r="BD37" i="12" s="1"/>
  <c r="BE37" i="12" s="1"/>
  <c r="BC37" i="10"/>
  <c r="BD37" i="10" s="1"/>
  <c r="BE37" i="10" s="1"/>
  <c r="AZ36" i="12"/>
  <c r="BA36" i="12" s="1"/>
  <c r="BF36" i="12" s="1"/>
  <c r="AB137" i="12" s="1"/>
  <c r="AB36" i="10"/>
  <c r="AC36" i="10" s="1"/>
  <c r="AH36" i="10" s="1"/>
  <c r="P137" i="10" s="1"/>
  <c r="AQ37" i="12"/>
  <c r="AY37" i="12"/>
  <c r="S37" i="12"/>
  <c r="BG37" i="12"/>
  <c r="AA37" i="12"/>
  <c r="K37" i="12"/>
  <c r="C37" i="12"/>
  <c r="AI37" i="12"/>
  <c r="AC135" i="3"/>
  <c r="AD135" i="3" s="1"/>
  <c r="BN35" i="3"/>
  <c r="AF136" i="3" s="1"/>
  <c r="Z35" i="3"/>
  <c r="L136" i="3" s="1"/>
  <c r="AT35" i="3"/>
  <c r="N35" i="3"/>
  <c r="AD35" i="3"/>
  <c r="J35" i="3"/>
  <c r="D136" i="3" s="1"/>
  <c r="BB35" i="3"/>
  <c r="AL35" i="3"/>
  <c r="AM49" i="2"/>
  <c r="AN49" i="2" s="1"/>
  <c r="V35" i="3"/>
  <c r="AP35" i="3"/>
  <c r="T136" i="3" s="1"/>
  <c r="BF35" i="3"/>
  <c r="AB136" i="3" s="1"/>
  <c r="BE49" i="2"/>
  <c r="BF49" i="2" s="1"/>
  <c r="BH36" i="3"/>
  <c r="BI36" i="3" s="1"/>
  <c r="AX35" i="3"/>
  <c r="X136" i="3" s="1"/>
  <c r="AB36" i="3"/>
  <c r="AC36" i="3" s="1"/>
  <c r="D36" i="3"/>
  <c r="E36" i="3" s="1"/>
  <c r="E31" i="22" s="1"/>
  <c r="AG49" i="2"/>
  <c r="AH49" i="2" s="1"/>
  <c r="R35" i="3"/>
  <c r="H136" i="3" s="1"/>
  <c r="F35" i="3"/>
  <c r="O37" i="3"/>
  <c r="P37" i="3" s="1"/>
  <c r="Q37" i="3" s="1"/>
  <c r="Q50" i="2"/>
  <c r="S50" i="2"/>
  <c r="AE37" i="3"/>
  <c r="AF37" i="3" s="1"/>
  <c r="AG37" i="3" s="1"/>
  <c r="AC50" i="2"/>
  <c r="AE50" i="2"/>
  <c r="A52" i="2"/>
  <c r="A38" i="3"/>
  <c r="I51" i="2"/>
  <c r="G51" i="2"/>
  <c r="H51" i="2"/>
  <c r="F51" i="2"/>
  <c r="D51" i="2"/>
  <c r="B51" i="2"/>
  <c r="E51" i="2"/>
  <c r="C51" i="2"/>
  <c r="AS49" i="2"/>
  <c r="AT49" i="2" s="1"/>
  <c r="AM37" i="3"/>
  <c r="AN37" i="3" s="1"/>
  <c r="AO37" i="3" s="1"/>
  <c r="AI50" i="2"/>
  <c r="AK50" i="2"/>
  <c r="AQ50" i="2"/>
  <c r="AU37" i="3"/>
  <c r="AV37" i="3" s="1"/>
  <c r="AW37" i="3" s="1"/>
  <c r="AO50" i="2"/>
  <c r="AZ36" i="3"/>
  <c r="BA36" i="3" s="1"/>
  <c r="T36" i="3"/>
  <c r="U36" i="3" s="1"/>
  <c r="AH35" i="3"/>
  <c r="P136" i="3" s="1"/>
  <c r="L49" i="2"/>
  <c r="O49" i="2"/>
  <c r="P49" i="2" s="1"/>
  <c r="BJ35" i="3"/>
  <c r="AR36" i="3"/>
  <c r="AS36" i="3" s="1"/>
  <c r="L36" i="3"/>
  <c r="M36" i="3" s="1"/>
  <c r="U49" i="2"/>
  <c r="V49" i="2" s="1"/>
  <c r="W37" i="3"/>
  <c r="X37" i="3" s="1"/>
  <c r="Y37" i="3" s="1"/>
  <c r="W50" i="2"/>
  <c r="Y50" i="2"/>
  <c r="BK37" i="3"/>
  <c r="BL37" i="3" s="1"/>
  <c r="BM37" i="3" s="1"/>
  <c r="BA50" i="2"/>
  <c r="BC50" i="2"/>
  <c r="AA49" i="2"/>
  <c r="AB49" i="2" s="1"/>
  <c r="AY49" i="2"/>
  <c r="AZ49" i="2" s="1"/>
  <c r="AJ36" i="3"/>
  <c r="AK36" i="3" s="1"/>
  <c r="G37" i="3"/>
  <c r="H37" i="3" s="1"/>
  <c r="I37" i="3" s="1"/>
  <c r="K50" i="2"/>
  <c r="M50" i="2"/>
  <c r="N50" i="2" s="1"/>
  <c r="BC37" i="3"/>
  <c r="BD37" i="3" s="1"/>
  <c r="BE37" i="3" s="1"/>
  <c r="AU50" i="2"/>
  <c r="AW50" i="2"/>
  <c r="AI37" i="3"/>
  <c r="K37" i="3"/>
  <c r="AY37" i="3"/>
  <c r="C37" i="3"/>
  <c r="BG37" i="3"/>
  <c r="S37" i="3"/>
  <c r="AA37" i="3"/>
  <c r="AQ37" i="3"/>
  <c r="I136" i="12" l="1"/>
  <c r="J136" i="12" s="1"/>
  <c r="U136" i="10"/>
  <c r="V136" i="10" s="1"/>
  <c r="R36" i="10"/>
  <c r="H137" i="10" s="1"/>
  <c r="Z36" i="12"/>
  <c r="L137" i="12" s="1"/>
  <c r="BF36" i="10"/>
  <c r="AB137" i="10" s="1"/>
  <c r="AL36" i="10"/>
  <c r="Z36" i="10"/>
  <c r="L137" i="10" s="1"/>
  <c r="Q136" i="10"/>
  <c r="R136" i="10" s="1"/>
  <c r="A45" i="19"/>
  <c r="J44" i="19"/>
  <c r="H44" i="19"/>
  <c r="L44" i="19"/>
  <c r="I44" i="19"/>
  <c r="K44" i="19"/>
  <c r="B44" i="19"/>
  <c r="F44" i="19"/>
  <c r="C44" i="19"/>
  <c r="D44" i="19"/>
  <c r="E44" i="19"/>
  <c r="BB36" i="12"/>
  <c r="BJ36" i="12"/>
  <c r="E136" i="3"/>
  <c r="F136" i="3" s="1"/>
  <c r="AD36" i="12"/>
  <c r="F36" i="10"/>
  <c r="BJ36" i="10"/>
  <c r="AX36" i="12"/>
  <c r="X137" i="12" s="1"/>
  <c r="W137" i="12"/>
  <c r="W137" i="10"/>
  <c r="Y137" i="10" s="1"/>
  <c r="Z137" i="10" s="1"/>
  <c r="W137" i="3"/>
  <c r="BK38" i="12"/>
  <c r="BL38" i="12" s="1"/>
  <c r="BM38" i="12" s="1"/>
  <c r="BK38" i="10"/>
  <c r="BL38" i="10" s="1"/>
  <c r="BM38" i="10" s="1"/>
  <c r="S137" i="12"/>
  <c r="U137" i="12" s="1"/>
  <c r="V137" i="12" s="1"/>
  <c r="S137" i="10"/>
  <c r="U137" i="10" s="1"/>
  <c r="V137" i="10" s="1"/>
  <c r="S137" i="3"/>
  <c r="L37" i="12"/>
  <c r="M37" i="12" s="1"/>
  <c r="R37" i="12" s="1"/>
  <c r="H138" i="12" s="1"/>
  <c r="AZ37" i="12"/>
  <c r="BA37" i="12" s="1"/>
  <c r="BF37" i="12" s="1"/>
  <c r="AB138" i="12" s="1"/>
  <c r="AR37" i="10"/>
  <c r="AS37" i="10" s="1"/>
  <c r="AX37" i="10" s="1"/>
  <c r="X138" i="10" s="1"/>
  <c r="D37" i="10"/>
  <c r="E37" i="10" s="1"/>
  <c r="J37" i="10" s="1"/>
  <c r="D138" i="10" s="1"/>
  <c r="N36" i="12"/>
  <c r="AA137" i="12"/>
  <c r="AC137" i="12" s="1"/>
  <c r="AD137" i="12" s="1"/>
  <c r="AA137" i="10"/>
  <c r="AC137" i="10" s="1"/>
  <c r="AD137" i="10" s="1"/>
  <c r="AA137" i="3"/>
  <c r="G137" i="12"/>
  <c r="I137" i="12" s="1"/>
  <c r="J137" i="12" s="1"/>
  <c r="G137" i="10"/>
  <c r="I137" i="10" s="1"/>
  <c r="J137" i="10" s="1"/>
  <c r="G137" i="3"/>
  <c r="C137" i="12"/>
  <c r="C137" i="10"/>
  <c r="E137" i="10" s="1"/>
  <c r="F137" i="10" s="1"/>
  <c r="C137" i="3"/>
  <c r="O38" i="12"/>
  <c r="P38" i="12" s="1"/>
  <c r="Q38" i="12" s="1"/>
  <c r="O38" i="10"/>
  <c r="P38" i="10" s="1"/>
  <c r="Q38" i="10" s="1"/>
  <c r="AM38" i="12"/>
  <c r="AN38" i="12" s="1"/>
  <c r="AO38" i="12" s="1"/>
  <c r="AM38" i="10"/>
  <c r="AN38" i="10" s="1"/>
  <c r="AO38" i="10" s="1"/>
  <c r="AB37" i="12"/>
  <c r="AC37" i="12" s="1"/>
  <c r="AH37" i="12" s="1"/>
  <c r="P138" i="12" s="1"/>
  <c r="AR37" i="12"/>
  <c r="AS37" i="12" s="1"/>
  <c r="AX37" i="12" s="1"/>
  <c r="X138" i="12" s="1"/>
  <c r="AT37" i="12"/>
  <c r="AB37" i="10"/>
  <c r="AC37" i="10" s="1"/>
  <c r="AH37" i="10" s="1"/>
  <c r="P138" i="10" s="1"/>
  <c r="T37" i="10"/>
  <c r="U37" i="10" s="1"/>
  <c r="V37" i="10" s="1"/>
  <c r="M136" i="3"/>
  <c r="N136" i="3" s="1"/>
  <c r="AL36" i="12"/>
  <c r="AA38" i="12"/>
  <c r="AQ38" i="12"/>
  <c r="AY38" i="12"/>
  <c r="S38" i="12"/>
  <c r="K38" i="12"/>
  <c r="C38" i="12"/>
  <c r="AI38" i="12"/>
  <c r="BG38" i="12"/>
  <c r="BC38" i="12"/>
  <c r="BD38" i="12" s="1"/>
  <c r="BE38" i="12" s="1"/>
  <c r="BC38" i="10"/>
  <c r="BD38" i="10" s="1"/>
  <c r="BE38" i="10" s="1"/>
  <c r="A39" i="12"/>
  <c r="A39" i="10"/>
  <c r="BH37" i="12"/>
  <c r="BI37" i="12" s="1"/>
  <c r="BN37" i="12" s="1"/>
  <c r="AF138" i="12" s="1"/>
  <c r="L37" i="10"/>
  <c r="M37" i="10" s="1"/>
  <c r="N37" i="10" s="1"/>
  <c r="AT36" i="10"/>
  <c r="J36" i="12"/>
  <c r="D137" i="12" s="1"/>
  <c r="Q136" i="3"/>
  <c r="R136" i="3" s="1"/>
  <c r="K137" i="12"/>
  <c r="M137" i="12" s="1"/>
  <c r="N137" i="12" s="1"/>
  <c r="K137" i="10"/>
  <c r="M137" i="10" s="1"/>
  <c r="N137" i="10" s="1"/>
  <c r="K137" i="3"/>
  <c r="AE38" i="12"/>
  <c r="AF38" i="12" s="1"/>
  <c r="AG38" i="12" s="1"/>
  <c r="AE38" i="10"/>
  <c r="AF38" i="10" s="1"/>
  <c r="AG38" i="10" s="1"/>
  <c r="AJ37" i="12"/>
  <c r="AK37" i="12" s="1"/>
  <c r="AL37" i="12" s="1"/>
  <c r="U136" i="3"/>
  <c r="V136" i="3" s="1"/>
  <c r="BH37" i="10"/>
  <c r="BI37" i="10" s="1"/>
  <c r="BN37" i="10" s="1"/>
  <c r="AF138" i="10" s="1"/>
  <c r="AG136" i="3"/>
  <c r="AH136" i="3" s="1"/>
  <c r="G38" i="12"/>
  <c r="H38" i="12" s="1"/>
  <c r="I38" i="12" s="1"/>
  <c r="G38" i="10"/>
  <c r="H38" i="10" s="1"/>
  <c r="I38" i="10" s="1"/>
  <c r="AU38" i="12"/>
  <c r="AV38" i="12" s="1"/>
  <c r="AW38" i="12" s="1"/>
  <c r="AU38" i="10"/>
  <c r="AV38" i="10" s="1"/>
  <c r="AW38" i="10" s="1"/>
  <c r="AG50" i="2"/>
  <c r="AH50" i="2" s="1"/>
  <c r="U50" i="2"/>
  <c r="V50" i="2" s="1"/>
  <c r="O137" i="12"/>
  <c r="O137" i="10"/>
  <c r="Q137" i="10" s="1"/>
  <c r="R137" i="10" s="1"/>
  <c r="O137" i="3"/>
  <c r="D37" i="12"/>
  <c r="E37" i="12" s="1"/>
  <c r="J37" i="12" s="1"/>
  <c r="D138" i="12" s="1"/>
  <c r="T37" i="12"/>
  <c r="U37" i="12" s="1"/>
  <c r="V37" i="12" s="1"/>
  <c r="AD36" i="10"/>
  <c r="AJ37" i="10"/>
  <c r="AK37" i="10" s="1"/>
  <c r="AL37" i="10" s="1"/>
  <c r="AP37" i="10"/>
  <c r="T138" i="10" s="1"/>
  <c r="AZ37" i="10"/>
  <c r="BA37" i="10" s="1"/>
  <c r="BF37" i="10" s="1"/>
  <c r="AB138" i="10" s="1"/>
  <c r="AC136" i="3"/>
  <c r="AD136" i="3" s="1"/>
  <c r="W38" i="12"/>
  <c r="X38" i="12" s="1"/>
  <c r="Y38" i="12" s="1"/>
  <c r="W38" i="10"/>
  <c r="X38" i="10" s="1"/>
  <c r="Y38" i="10" s="1"/>
  <c r="AE137" i="12"/>
  <c r="AG137" i="12" s="1"/>
  <c r="AH137" i="12" s="1"/>
  <c r="AE137" i="10"/>
  <c r="AG137" i="10" s="1"/>
  <c r="AH137" i="10" s="1"/>
  <c r="AE137" i="3"/>
  <c r="I136" i="3"/>
  <c r="J136" i="3" s="1"/>
  <c r="Q137" i="12"/>
  <c r="R137" i="12" s="1"/>
  <c r="C38" i="10"/>
  <c r="AY38" i="10"/>
  <c r="S38" i="10"/>
  <c r="BG38" i="10"/>
  <c r="AA38" i="10"/>
  <c r="AI38" i="10"/>
  <c r="K38" i="10"/>
  <c r="AQ38" i="10"/>
  <c r="Y136" i="3"/>
  <c r="Z136" i="3" s="1"/>
  <c r="N36" i="3"/>
  <c r="AD36" i="3"/>
  <c r="AT36" i="3"/>
  <c r="BF36" i="3"/>
  <c r="AB137" i="3" s="1"/>
  <c r="BJ36" i="3"/>
  <c r="AL36" i="3"/>
  <c r="V36" i="3"/>
  <c r="F36" i="3"/>
  <c r="AY50" i="2"/>
  <c r="AZ50" i="2" s="1"/>
  <c r="AP36" i="3"/>
  <c r="T137" i="3" s="1"/>
  <c r="BE50" i="2"/>
  <c r="BF50" i="2" s="1"/>
  <c r="BG49" i="2"/>
  <c r="J36" i="3"/>
  <c r="D137" i="3" s="1"/>
  <c r="AS50" i="2"/>
  <c r="AT50" i="2" s="1"/>
  <c r="BN36" i="3"/>
  <c r="AF137" i="3" s="1"/>
  <c r="T37" i="3"/>
  <c r="U37" i="3" s="1"/>
  <c r="L37" i="3"/>
  <c r="M37" i="3" s="1"/>
  <c r="AX36" i="3"/>
  <c r="X137" i="3" s="1"/>
  <c r="BB36" i="3"/>
  <c r="W38" i="3"/>
  <c r="X38" i="3" s="1"/>
  <c r="Y38" i="3" s="1"/>
  <c r="W51" i="2"/>
  <c r="Y51" i="2"/>
  <c r="BK38" i="3"/>
  <c r="BL38" i="3" s="1"/>
  <c r="BM38" i="3" s="1"/>
  <c r="BA51" i="2"/>
  <c r="BC51" i="2"/>
  <c r="AH36" i="3"/>
  <c r="P137" i="3" s="1"/>
  <c r="AZ37" i="3"/>
  <c r="BA37" i="3" s="1"/>
  <c r="BH37" i="3"/>
  <c r="BI37" i="3" s="1"/>
  <c r="AJ37" i="3"/>
  <c r="AK37" i="3" s="1"/>
  <c r="O38" i="3"/>
  <c r="P38" i="3" s="1"/>
  <c r="Q38" i="3" s="1"/>
  <c r="Q51" i="2"/>
  <c r="S51" i="2"/>
  <c r="AM38" i="3"/>
  <c r="AN38" i="3" s="1"/>
  <c r="AO38" i="3" s="1"/>
  <c r="AI51" i="2"/>
  <c r="AK51" i="2"/>
  <c r="C38" i="3"/>
  <c r="K38" i="3"/>
  <c r="AY38" i="3"/>
  <c r="AA38" i="3"/>
  <c r="BG38" i="3"/>
  <c r="AQ38" i="3"/>
  <c r="S38" i="3"/>
  <c r="AI38" i="3"/>
  <c r="AR37" i="3"/>
  <c r="AS37" i="3" s="1"/>
  <c r="D37" i="3"/>
  <c r="E37" i="3" s="1"/>
  <c r="F37" i="3" s="1"/>
  <c r="O50" i="2"/>
  <c r="P50" i="2" s="1"/>
  <c r="L50" i="2"/>
  <c r="AA50" i="2"/>
  <c r="AB50" i="2" s="1"/>
  <c r="R36" i="3"/>
  <c r="H137" i="3" s="1"/>
  <c r="Z36" i="3"/>
  <c r="L137" i="3" s="1"/>
  <c r="AM50" i="2"/>
  <c r="AN50" i="2" s="1"/>
  <c r="AE38" i="3"/>
  <c r="AF38" i="3" s="1"/>
  <c r="AG38" i="3" s="1"/>
  <c r="AC51" i="2"/>
  <c r="AE51" i="2"/>
  <c r="BC38" i="3"/>
  <c r="BD38" i="3" s="1"/>
  <c r="BE38" i="3" s="1"/>
  <c r="AU51" i="2"/>
  <c r="AY51" i="2" s="1"/>
  <c r="AZ51" i="2" s="1"/>
  <c r="AW51" i="2"/>
  <c r="A53" i="2"/>
  <c r="A39" i="3"/>
  <c r="H52" i="2"/>
  <c r="G52" i="2"/>
  <c r="I52" i="2"/>
  <c r="E52" i="2"/>
  <c r="F52" i="2"/>
  <c r="C52" i="2"/>
  <c r="B52" i="2"/>
  <c r="D52" i="2"/>
  <c r="AB37" i="3"/>
  <c r="AC37" i="3" s="1"/>
  <c r="G38" i="3"/>
  <c r="H38" i="3" s="1"/>
  <c r="I38" i="3" s="1"/>
  <c r="K51" i="2"/>
  <c r="M51" i="2"/>
  <c r="N51" i="2" s="1"/>
  <c r="AQ51" i="2"/>
  <c r="AU38" i="3"/>
  <c r="AV38" i="3" s="1"/>
  <c r="AW38" i="3" s="1"/>
  <c r="AO51" i="2"/>
  <c r="E32" i="22" l="1"/>
  <c r="A46" i="19"/>
  <c r="I45" i="19"/>
  <c r="K45" i="19"/>
  <c r="H45" i="19"/>
  <c r="L45" i="19"/>
  <c r="J45" i="19"/>
  <c r="E45" i="19"/>
  <c r="B45" i="19"/>
  <c r="F45" i="19"/>
  <c r="C45" i="19"/>
  <c r="D45" i="19"/>
  <c r="R37" i="10"/>
  <c r="H138" i="10" s="1"/>
  <c r="Z37" i="12"/>
  <c r="L138" i="12" s="1"/>
  <c r="Z37" i="10"/>
  <c r="L138" i="10" s="1"/>
  <c r="AT37" i="10"/>
  <c r="N37" i="12"/>
  <c r="AP37" i="12"/>
  <c r="T138" i="12" s="1"/>
  <c r="Y137" i="12"/>
  <c r="Z137" i="12" s="1"/>
  <c r="F37" i="12"/>
  <c r="BJ37" i="10"/>
  <c r="AD37" i="12"/>
  <c r="AC137" i="3"/>
  <c r="AD137" i="3" s="1"/>
  <c r="F37" i="10"/>
  <c r="U137" i="3"/>
  <c r="V137" i="3" s="1"/>
  <c r="AA139" i="12"/>
  <c r="AA139" i="10"/>
  <c r="AA139" i="3"/>
  <c r="K138" i="12"/>
  <c r="K138" i="10"/>
  <c r="K138" i="3"/>
  <c r="AA138" i="12"/>
  <c r="AC138" i="12" s="1"/>
  <c r="AD138" i="12" s="1"/>
  <c r="AA138" i="10"/>
  <c r="AC138" i="10" s="1"/>
  <c r="AD138" i="10" s="1"/>
  <c r="AA138" i="3"/>
  <c r="AZ38" i="10"/>
  <c r="BA38" i="10" s="1"/>
  <c r="BF38" i="10" s="1"/>
  <c r="AB139" i="10" s="1"/>
  <c r="L38" i="12"/>
  <c r="M38" i="12" s="1"/>
  <c r="R38" i="12" s="1"/>
  <c r="H139" i="12" s="1"/>
  <c r="W39" i="12"/>
  <c r="X39" i="12" s="1"/>
  <c r="Y39" i="12" s="1"/>
  <c r="W39" i="10"/>
  <c r="X39" i="10" s="1"/>
  <c r="Y39" i="10" s="1"/>
  <c r="AE39" i="12"/>
  <c r="AF39" i="12" s="1"/>
  <c r="AG39" i="12" s="1"/>
  <c r="AE39" i="10"/>
  <c r="AF39" i="10" s="1"/>
  <c r="AG39" i="10" s="1"/>
  <c r="S138" i="12"/>
  <c r="U138" i="12" s="1"/>
  <c r="V138" i="12" s="1"/>
  <c r="S138" i="10"/>
  <c r="U138" i="10" s="1"/>
  <c r="V138" i="10" s="1"/>
  <c r="S138" i="3"/>
  <c r="AB38" i="10"/>
  <c r="AC38" i="10" s="1"/>
  <c r="AH38" i="10" s="1"/>
  <c r="P139" i="10" s="1"/>
  <c r="D38" i="10"/>
  <c r="E38" i="10" s="1"/>
  <c r="J38" i="10" s="1"/>
  <c r="D139" i="10" s="1"/>
  <c r="AI39" i="10"/>
  <c r="K39" i="10"/>
  <c r="AA39" i="10"/>
  <c r="AY39" i="10"/>
  <c r="BG39" i="10"/>
  <c r="AQ39" i="10"/>
  <c r="C39" i="10"/>
  <c r="S39" i="10"/>
  <c r="BH38" i="12"/>
  <c r="BI38" i="12" s="1"/>
  <c r="BJ38" i="12" s="1"/>
  <c r="T38" i="12"/>
  <c r="U38" i="12" s="1"/>
  <c r="Z38" i="12" s="1"/>
  <c r="L139" i="12" s="1"/>
  <c r="I137" i="3"/>
  <c r="J137" i="3" s="1"/>
  <c r="Y137" i="3"/>
  <c r="Z137" i="3" s="1"/>
  <c r="BK39" i="12"/>
  <c r="BL39" i="12" s="1"/>
  <c r="BM39" i="12" s="1"/>
  <c r="BK39" i="10"/>
  <c r="BL39" i="10" s="1"/>
  <c r="BM39" i="10" s="1"/>
  <c r="C138" i="12"/>
  <c r="E138" i="12" s="1"/>
  <c r="F138" i="12" s="1"/>
  <c r="C138" i="10"/>
  <c r="E138" i="10" s="1"/>
  <c r="F138" i="10" s="1"/>
  <c r="C138" i="3"/>
  <c r="AR38" i="10"/>
  <c r="AS38" i="10" s="1"/>
  <c r="AT38" i="10" s="1"/>
  <c r="G138" i="12"/>
  <c r="I138" i="12" s="1"/>
  <c r="J138" i="12" s="1"/>
  <c r="G138" i="10"/>
  <c r="I138" i="10" s="1"/>
  <c r="J138" i="10" s="1"/>
  <c r="G138" i="3"/>
  <c r="M137" i="3"/>
  <c r="N137" i="3" s="1"/>
  <c r="AA39" i="12"/>
  <c r="AY39" i="12"/>
  <c r="AI39" i="12"/>
  <c r="AQ39" i="12"/>
  <c r="C39" i="12"/>
  <c r="K39" i="12"/>
  <c r="S39" i="12"/>
  <c r="BG39" i="12"/>
  <c r="AZ38" i="12"/>
  <c r="BA38" i="12" s="1"/>
  <c r="BB38" i="12" s="1"/>
  <c r="AD37" i="10"/>
  <c r="E137" i="3"/>
  <c r="F137" i="3" s="1"/>
  <c r="BB37" i="12"/>
  <c r="G39" i="12"/>
  <c r="H39" i="12" s="1"/>
  <c r="I39" i="12" s="1"/>
  <c r="G39" i="10"/>
  <c r="H39" i="10" s="1"/>
  <c r="I39" i="10" s="1"/>
  <c r="A40" i="12"/>
  <c r="A40" i="10"/>
  <c r="AE138" i="12"/>
  <c r="AG138" i="12" s="1"/>
  <c r="AH138" i="12" s="1"/>
  <c r="AE138" i="10"/>
  <c r="AG138" i="10" s="1"/>
  <c r="AH138" i="10" s="1"/>
  <c r="AE138" i="3"/>
  <c r="BH38" i="10"/>
  <c r="BI38" i="10" s="1"/>
  <c r="BJ38" i="10" s="1"/>
  <c r="BN38" i="10"/>
  <c r="AF139" i="10" s="1"/>
  <c r="BB37" i="10"/>
  <c r="AJ38" i="12"/>
  <c r="AK38" i="12" s="1"/>
  <c r="AL38" i="12" s="1"/>
  <c r="BG50" i="2"/>
  <c r="O39" i="12"/>
  <c r="P39" i="12" s="1"/>
  <c r="Q39" i="12" s="1"/>
  <c r="O39" i="10"/>
  <c r="P39" i="10" s="1"/>
  <c r="Q39" i="10" s="1"/>
  <c r="AU39" i="12"/>
  <c r="AV39" i="12" s="1"/>
  <c r="AW39" i="12" s="1"/>
  <c r="AU39" i="10"/>
  <c r="AV39" i="10" s="1"/>
  <c r="AW39" i="10" s="1"/>
  <c r="W138" i="12"/>
  <c r="Y138" i="12" s="1"/>
  <c r="Z138" i="12" s="1"/>
  <c r="W138" i="10"/>
  <c r="Y138" i="10" s="1"/>
  <c r="Z138" i="10" s="1"/>
  <c r="W138" i="3"/>
  <c r="L38" i="10"/>
  <c r="M38" i="10" s="1"/>
  <c r="R38" i="10" s="1"/>
  <c r="H139" i="10" s="1"/>
  <c r="T38" i="10"/>
  <c r="U38" i="10" s="1"/>
  <c r="Z38" i="10" s="1"/>
  <c r="L139" i="10" s="1"/>
  <c r="Q137" i="3"/>
  <c r="R137" i="3" s="1"/>
  <c r="O138" i="12"/>
  <c r="Q138" i="12" s="1"/>
  <c r="R138" i="12" s="1"/>
  <c r="O138" i="10"/>
  <c r="Q138" i="10" s="1"/>
  <c r="R138" i="10" s="1"/>
  <c r="O138" i="3"/>
  <c r="BJ37" i="12"/>
  <c r="D38" i="12"/>
  <c r="E38" i="12" s="1"/>
  <c r="F38" i="12" s="1"/>
  <c r="AR38" i="12"/>
  <c r="AS38" i="12" s="1"/>
  <c r="AX38" i="12" s="1"/>
  <c r="X139" i="12" s="1"/>
  <c r="AM39" i="12"/>
  <c r="AN39" i="12" s="1"/>
  <c r="AO39" i="12" s="1"/>
  <c r="AM39" i="10"/>
  <c r="AN39" i="10" s="1"/>
  <c r="AO39" i="10" s="1"/>
  <c r="BC39" i="12"/>
  <c r="BD39" i="12" s="1"/>
  <c r="BE39" i="12" s="1"/>
  <c r="BC39" i="10"/>
  <c r="BD39" i="10" s="1"/>
  <c r="BE39" i="10" s="1"/>
  <c r="AJ38" i="10"/>
  <c r="AK38" i="10" s="1"/>
  <c r="AL38" i="10" s="1"/>
  <c r="AG137" i="3"/>
  <c r="AH137" i="3" s="1"/>
  <c r="AB38" i="12"/>
  <c r="AC38" i="12" s="1"/>
  <c r="AH38" i="12" s="1"/>
  <c r="P139" i="12" s="1"/>
  <c r="E137" i="12"/>
  <c r="F137" i="12" s="1"/>
  <c r="AX37" i="3"/>
  <c r="X138" i="3" s="1"/>
  <c r="V37" i="3"/>
  <c r="BB37" i="3"/>
  <c r="BJ37" i="3"/>
  <c r="AH37" i="3"/>
  <c r="P138" i="3" s="1"/>
  <c r="J37" i="3"/>
  <c r="D138" i="3" s="1"/>
  <c r="AP37" i="3"/>
  <c r="T138" i="3" s="1"/>
  <c r="R37" i="3"/>
  <c r="H138" i="3" s="1"/>
  <c r="AL37" i="3"/>
  <c r="AG51" i="2"/>
  <c r="AH51" i="2" s="1"/>
  <c r="BN37" i="3"/>
  <c r="AF138" i="3" s="1"/>
  <c r="N37" i="3"/>
  <c r="AM51" i="2"/>
  <c r="AN51" i="2" s="1"/>
  <c r="AS51" i="2"/>
  <c r="AT51" i="2" s="1"/>
  <c r="BF37" i="3"/>
  <c r="AB138" i="3" s="1"/>
  <c r="BE51" i="2"/>
  <c r="BF51" i="2" s="1"/>
  <c r="L51" i="2"/>
  <c r="O51" i="2"/>
  <c r="P51" i="2" s="1"/>
  <c r="G39" i="3"/>
  <c r="H39" i="3" s="1"/>
  <c r="I39" i="3" s="1"/>
  <c r="K52" i="2"/>
  <c r="M52" i="2"/>
  <c r="N52" i="2" s="1"/>
  <c r="BK39" i="3"/>
  <c r="BL39" i="3" s="1"/>
  <c r="BM39" i="3" s="1"/>
  <c r="BA52" i="2"/>
  <c r="BC52" i="2"/>
  <c r="A54" i="2"/>
  <c r="A40" i="3"/>
  <c r="I53" i="2"/>
  <c r="G53" i="2"/>
  <c r="H53" i="2"/>
  <c r="D53" i="2"/>
  <c r="F53" i="2"/>
  <c r="E53" i="2"/>
  <c r="B53" i="2"/>
  <c r="C53" i="2"/>
  <c r="AD37" i="3"/>
  <c r="O39" i="3"/>
  <c r="P39" i="3" s="1"/>
  <c r="Q39" i="3" s="1"/>
  <c r="Q52" i="2"/>
  <c r="S52" i="2"/>
  <c r="AQ52" i="2"/>
  <c r="AU39" i="3"/>
  <c r="AV39" i="3" s="1"/>
  <c r="AW39" i="3" s="1"/>
  <c r="AO52" i="2"/>
  <c r="AT37" i="3"/>
  <c r="AR38" i="3"/>
  <c r="AS38" i="3" s="1"/>
  <c r="L38" i="3"/>
  <c r="M38" i="3" s="1"/>
  <c r="AM39" i="3"/>
  <c r="AN39" i="3" s="1"/>
  <c r="AO39" i="3" s="1"/>
  <c r="AI52" i="2"/>
  <c r="AK52" i="2"/>
  <c r="BC39" i="3"/>
  <c r="BD39" i="3" s="1"/>
  <c r="BE39" i="3" s="1"/>
  <c r="AU52" i="2"/>
  <c r="AW52" i="2"/>
  <c r="BH38" i="3"/>
  <c r="BI38" i="3" s="1"/>
  <c r="D38" i="3"/>
  <c r="E38" i="3" s="1"/>
  <c r="E33" i="22" s="1"/>
  <c r="Z37" i="3"/>
  <c r="L138" i="3" s="1"/>
  <c r="W39" i="3"/>
  <c r="X39" i="3" s="1"/>
  <c r="Y39" i="3" s="1"/>
  <c r="W52" i="2"/>
  <c r="Y52" i="2"/>
  <c r="AE39" i="3"/>
  <c r="AF39" i="3" s="1"/>
  <c r="AG39" i="3" s="1"/>
  <c r="AC52" i="2"/>
  <c r="AE52" i="2"/>
  <c r="C39" i="3"/>
  <c r="AQ39" i="3"/>
  <c r="AA39" i="3"/>
  <c r="K39" i="3"/>
  <c r="AI39" i="3"/>
  <c r="BG39" i="3"/>
  <c r="S39" i="3"/>
  <c r="T39" i="3" s="1"/>
  <c r="U39" i="3" s="1"/>
  <c r="AY39" i="3"/>
  <c r="AZ39" i="3" s="1"/>
  <c r="BA39" i="3" s="1"/>
  <c r="AJ38" i="3"/>
  <c r="AK38" i="3" s="1"/>
  <c r="AL38" i="3" s="1"/>
  <c r="AB38" i="3"/>
  <c r="AC38" i="3" s="1"/>
  <c r="U51" i="2"/>
  <c r="V51" i="2" s="1"/>
  <c r="AA51" i="2"/>
  <c r="AB51" i="2" s="1"/>
  <c r="T38" i="3"/>
  <c r="U38" i="3" s="1"/>
  <c r="AZ38" i="3"/>
  <c r="BA38" i="3" s="1"/>
  <c r="AP38" i="12" l="1"/>
  <c r="T139" i="12" s="1"/>
  <c r="AX38" i="10"/>
  <c r="X139" i="10" s="1"/>
  <c r="M138" i="10"/>
  <c r="N138" i="10" s="1"/>
  <c r="AT38" i="12"/>
  <c r="V38" i="10"/>
  <c r="A47" i="19"/>
  <c r="H46" i="19"/>
  <c r="L46" i="19"/>
  <c r="J46" i="19"/>
  <c r="K46" i="19"/>
  <c r="I46" i="19"/>
  <c r="D46" i="19"/>
  <c r="E46" i="19"/>
  <c r="B46" i="19"/>
  <c r="F46" i="19"/>
  <c r="C46" i="19"/>
  <c r="N38" i="10"/>
  <c r="BN38" i="12"/>
  <c r="AF139" i="12" s="1"/>
  <c r="AP38" i="10"/>
  <c r="T139" i="10" s="1"/>
  <c r="J38" i="12"/>
  <c r="D139" i="12" s="1"/>
  <c r="M138" i="12"/>
  <c r="N138" i="12" s="1"/>
  <c r="AD38" i="12"/>
  <c r="I138" i="3"/>
  <c r="J138" i="3" s="1"/>
  <c r="V38" i="12"/>
  <c r="BB38" i="10"/>
  <c r="F38" i="10"/>
  <c r="G139" i="12"/>
  <c r="I139" i="12" s="1"/>
  <c r="J139" i="12" s="1"/>
  <c r="G139" i="10"/>
  <c r="I139" i="10" s="1"/>
  <c r="J139" i="10" s="1"/>
  <c r="G139" i="3"/>
  <c r="AM52" i="2"/>
  <c r="AN52" i="2" s="1"/>
  <c r="O40" i="12"/>
  <c r="P40" i="12" s="1"/>
  <c r="Q40" i="12" s="1"/>
  <c r="O40" i="10"/>
  <c r="P40" i="10" s="1"/>
  <c r="Q40" i="10" s="1"/>
  <c r="W40" i="12"/>
  <c r="X40" i="12" s="1"/>
  <c r="Y40" i="12" s="1"/>
  <c r="W40" i="10"/>
  <c r="X40" i="10" s="1"/>
  <c r="Y40" i="10" s="1"/>
  <c r="C139" i="12"/>
  <c r="E139" i="12" s="1"/>
  <c r="F139" i="12" s="1"/>
  <c r="C139" i="10"/>
  <c r="E139" i="10" s="1"/>
  <c r="F139" i="10" s="1"/>
  <c r="C139" i="3"/>
  <c r="W139" i="12"/>
  <c r="Y139" i="12" s="1"/>
  <c r="Z139" i="12" s="1"/>
  <c r="W139" i="10"/>
  <c r="Y139" i="10" s="1"/>
  <c r="Z139" i="10" s="1"/>
  <c r="W139" i="3"/>
  <c r="O139" i="12"/>
  <c r="O139" i="10"/>
  <c r="Q139" i="10" s="1"/>
  <c r="R139" i="10" s="1"/>
  <c r="O139" i="3"/>
  <c r="Q139" i="12"/>
  <c r="R139" i="12" s="1"/>
  <c r="Q138" i="3"/>
  <c r="R138" i="3" s="1"/>
  <c r="AQ40" i="10"/>
  <c r="AI40" i="10"/>
  <c r="K40" i="10"/>
  <c r="BG40" i="10"/>
  <c r="C40" i="10"/>
  <c r="AY40" i="10"/>
  <c r="S40" i="10"/>
  <c r="AA40" i="10"/>
  <c r="BF38" i="12"/>
  <c r="AB139" i="12" s="1"/>
  <c r="L39" i="12"/>
  <c r="M39" i="12" s="1"/>
  <c r="N39" i="12" s="1"/>
  <c r="AZ39" i="12"/>
  <c r="BA39" i="12" s="1"/>
  <c r="BF39" i="12" s="1"/>
  <c r="AB140" i="12" s="1"/>
  <c r="BH39" i="10"/>
  <c r="BI39" i="10" s="1"/>
  <c r="BN39" i="10" s="1"/>
  <c r="AF140" i="10" s="1"/>
  <c r="BJ39" i="10"/>
  <c r="AJ39" i="10"/>
  <c r="AK39" i="10" s="1"/>
  <c r="AP39" i="10" s="1"/>
  <c r="T140" i="10" s="1"/>
  <c r="AD38" i="10"/>
  <c r="G40" i="12"/>
  <c r="H40" i="12" s="1"/>
  <c r="I40" i="12" s="1"/>
  <c r="G40" i="10"/>
  <c r="H40" i="10" s="1"/>
  <c r="I40" i="10" s="1"/>
  <c r="BC40" i="12"/>
  <c r="BD40" i="12" s="1"/>
  <c r="BE40" i="12" s="1"/>
  <c r="BC40" i="10"/>
  <c r="BD40" i="10" s="1"/>
  <c r="BE40" i="10" s="1"/>
  <c r="A41" i="12"/>
  <c r="A41" i="10"/>
  <c r="S139" i="12"/>
  <c r="U139" i="12" s="1"/>
  <c r="V139" i="12" s="1"/>
  <c r="S139" i="10"/>
  <c r="U139" i="10" s="1"/>
  <c r="V139" i="10" s="1"/>
  <c r="S139" i="3"/>
  <c r="AG138" i="3"/>
  <c r="AH138" i="3" s="1"/>
  <c r="K40" i="12"/>
  <c r="C40" i="12"/>
  <c r="AI40" i="12"/>
  <c r="AQ40" i="12"/>
  <c r="S40" i="12"/>
  <c r="BG40" i="12"/>
  <c r="AA40" i="12"/>
  <c r="AY40" i="12"/>
  <c r="D39" i="12"/>
  <c r="E39" i="12" s="1"/>
  <c r="J39" i="12" s="1"/>
  <c r="D140" i="12" s="1"/>
  <c r="AB39" i="12"/>
  <c r="AC39" i="12" s="1"/>
  <c r="AH39" i="12" s="1"/>
  <c r="P140" i="12" s="1"/>
  <c r="E138" i="3"/>
  <c r="F138" i="3" s="1"/>
  <c r="T39" i="10"/>
  <c r="U39" i="10" s="1"/>
  <c r="Z39" i="10" s="1"/>
  <c r="L140" i="10" s="1"/>
  <c r="AZ39" i="10"/>
  <c r="BA39" i="10" s="1"/>
  <c r="BF39" i="10" s="1"/>
  <c r="AB140" i="10" s="1"/>
  <c r="N38" i="12"/>
  <c r="K139" i="12"/>
  <c r="M139" i="12" s="1"/>
  <c r="N139" i="12" s="1"/>
  <c r="K139" i="10"/>
  <c r="M139" i="10" s="1"/>
  <c r="N139" i="10" s="1"/>
  <c r="K139" i="3"/>
  <c r="AE40" i="12"/>
  <c r="AF40" i="12" s="1"/>
  <c r="AG40" i="12" s="1"/>
  <c r="AE40" i="10"/>
  <c r="AF40" i="10" s="1"/>
  <c r="AG40" i="10" s="1"/>
  <c r="AU40" i="12"/>
  <c r="AV40" i="12" s="1"/>
  <c r="AW40" i="12" s="1"/>
  <c r="AU40" i="10"/>
  <c r="AV40" i="10" s="1"/>
  <c r="AW40" i="10" s="1"/>
  <c r="AE139" i="12"/>
  <c r="AG139" i="12" s="1"/>
  <c r="AH139" i="12" s="1"/>
  <c r="AE139" i="10"/>
  <c r="AG139" i="10" s="1"/>
  <c r="AH139" i="10" s="1"/>
  <c r="AE139" i="3"/>
  <c r="Y138" i="3"/>
  <c r="Z138" i="3" s="1"/>
  <c r="BH39" i="12"/>
  <c r="BI39" i="12" s="1"/>
  <c r="BJ39" i="12" s="1"/>
  <c r="AR39" i="12"/>
  <c r="AS39" i="12" s="1"/>
  <c r="AX39" i="12" s="1"/>
  <c r="X140" i="12" s="1"/>
  <c r="D39" i="10"/>
  <c r="E39" i="10" s="1"/>
  <c r="J39" i="10" s="1"/>
  <c r="D140" i="10" s="1"/>
  <c r="F39" i="10"/>
  <c r="AB39" i="10"/>
  <c r="AC39" i="10" s="1"/>
  <c r="AH39" i="10" s="1"/>
  <c r="P140" i="10" s="1"/>
  <c r="U138" i="3"/>
  <c r="V138" i="3" s="1"/>
  <c r="M138" i="3"/>
  <c r="N138" i="3" s="1"/>
  <c r="AC139" i="10"/>
  <c r="AD139" i="10" s="1"/>
  <c r="AM40" i="12"/>
  <c r="AN40" i="12" s="1"/>
  <c r="AO40" i="12" s="1"/>
  <c r="AM40" i="10"/>
  <c r="AN40" i="10" s="1"/>
  <c r="AO40" i="10" s="1"/>
  <c r="BK40" i="12"/>
  <c r="BL40" i="12" s="1"/>
  <c r="BM40" i="12" s="1"/>
  <c r="BK40" i="10"/>
  <c r="BL40" i="10" s="1"/>
  <c r="BM40" i="10" s="1"/>
  <c r="T39" i="12"/>
  <c r="U39" i="12" s="1"/>
  <c r="Z39" i="12" s="1"/>
  <c r="L140" i="12" s="1"/>
  <c r="AJ39" i="12"/>
  <c r="AK39" i="12" s="1"/>
  <c r="AL39" i="12" s="1"/>
  <c r="AR39" i="10"/>
  <c r="AS39" i="10" s="1"/>
  <c r="AT39" i="10" s="1"/>
  <c r="L39" i="10"/>
  <c r="M39" i="10" s="1"/>
  <c r="N39" i="10" s="1"/>
  <c r="AC138" i="3"/>
  <c r="AD138" i="3" s="1"/>
  <c r="AC139" i="12"/>
  <c r="AD139" i="12" s="1"/>
  <c r="R38" i="3"/>
  <c r="H139" i="3" s="1"/>
  <c r="BB39" i="3"/>
  <c r="BJ38" i="3"/>
  <c r="AT38" i="3"/>
  <c r="AH38" i="3"/>
  <c r="P139" i="3" s="1"/>
  <c r="Q139" i="3" s="1"/>
  <c r="R139" i="3" s="1"/>
  <c r="F38" i="3"/>
  <c r="BF38" i="3"/>
  <c r="AB139" i="3" s="1"/>
  <c r="AC139" i="3" s="1"/>
  <c r="AD139" i="3" s="1"/>
  <c r="V39" i="3"/>
  <c r="Z38" i="3"/>
  <c r="L139" i="3" s="1"/>
  <c r="M139" i="3" s="1"/>
  <c r="N139" i="3" s="1"/>
  <c r="AP38" i="3"/>
  <c r="T139" i="3" s="1"/>
  <c r="U139" i="3" s="1"/>
  <c r="V139" i="3" s="1"/>
  <c r="BF39" i="3"/>
  <c r="AB140" i="3" s="1"/>
  <c r="BG51" i="2"/>
  <c r="AD38" i="3"/>
  <c r="BE52" i="2"/>
  <c r="BF52" i="2" s="1"/>
  <c r="AS52" i="2"/>
  <c r="AT52" i="2" s="1"/>
  <c r="U52" i="2"/>
  <c r="V52" i="2" s="1"/>
  <c r="D39" i="3"/>
  <c r="E39" i="3" s="1"/>
  <c r="E34" i="22" s="1"/>
  <c r="V38" i="3"/>
  <c r="L39" i="3"/>
  <c r="M39" i="3" s="1"/>
  <c r="AG52" i="2"/>
  <c r="AH52" i="2" s="1"/>
  <c r="AA52" i="2"/>
  <c r="AB52" i="2" s="1"/>
  <c r="J38" i="3"/>
  <c r="D139" i="3" s="1"/>
  <c r="AY52" i="2"/>
  <c r="AZ52" i="2" s="1"/>
  <c r="AX38" i="3"/>
  <c r="X139" i="3" s="1"/>
  <c r="Y139" i="3" s="1"/>
  <c r="Z139" i="3" s="1"/>
  <c r="AE40" i="3"/>
  <c r="AF40" i="3" s="1"/>
  <c r="AG40" i="3" s="1"/>
  <c r="AC53" i="2"/>
  <c r="AE53" i="2"/>
  <c r="AQ53" i="2"/>
  <c r="AU40" i="3"/>
  <c r="AV40" i="3" s="1"/>
  <c r="AW40" i="3" s="1"/>
  <c r="AO53" i="2"/>
  <c r="L52" i="2"/>
  <c r="O52" i="2"/>
  <c r="P52" i="2" s="1"/>
  <c r="AB39" i="3"/>
  <c r="AC39" i="3" s="1"/>
  <c r="AH39" i="3" s="1"/>
  <c r="P140" i="3" s="1"/>
  <c r="AM40" i="3"/>
  <c r="AN40" i="3" s="1"/>
  <c r="AO40" i="3" s="1"/>
  <c r="AI53" i="2"/>
  <c r="AK53" i="2"/>
  <c r="BK40" i="3"/>
  <c r="BL40" i="3" s="1"/>
  <c r="BM40" i="3" s="1"/>
  <c r="BA53" i="2"/>
  <c r="BC53" i="2"/>
  <c r="Z39" i="3"/>
  <c r="L140" i="3" s="1"/>
  <c r="BB38" i="3"/>
  <c r="BH39" i="3"/>
  <c r="BI39" i="3" s="1"/>
  <c r="AR39" i="3"/>
  <c r="AS39" i="3" s="1"/>
  <c r="BN38" i="3"/>
  <c r="AF139" i="3" s="1"/>
  <c r="AG139" i="3" s="1"/>
  <c r="AH139" i="3" s="1"/>
  <c r="N38" i="3"/>
  <c r="O40" i="3"/>
  <c r="P40" i="3" s="1"/>
  <c r="Q40" i="3" s="1"/>
  <c r="Q53" i="2"/>
  <c r="S53" i="2"/>
  <c r="W40" i="3"/>
  <c r="X40" i="3" s="1"/>
  <c r="Y40" i="3" s="1"/>
  <c r="W53" i="2"/>
  <c r="Y53" i="2"/>
  <c r="AA40" i="3"/>
  <c r="C40" i="3"/>
  <c r="AQ40" i="3"/>
  <c r="BG40" i="3"/>
  <c r="S40" i="3"/>
  <c r="AI40" i="3"/>
  <c r="K40" i="3"/>
  <c r="AY40" i="3"/>
  <c r="AJ39" i="3"/>
  <c r="AK39" i="3" s="1"/>
  <c r="G40" i="3"/>
  <c r="H40" i="3" s="1"/>
  <c r="I40" i="3" s="1"/>
  <c r="K53" i="2"/>
  <c r="M53" i="2"/>
  <c r="N53" i="2" s="1"/>
  <c r="BC40" i="3"/>
  <c r="BD40" i="3" s="1"/>
  <c r="BE40" i="3" s="1"/>
  <c r="AU53" i="2"/>
  <c r="AW53" i="2"/>
  <c r="A55" i="2"/>
  <c r="A41" i="3"/>
  <c r="I54" i="2"/>
  <c r="G54" i="2"/>
  <c r="E54" i="2"/>
  <c r="H54" i="2"/>
  <c r="D54" i="2"/>
  <c r="F54" i="2"/>
  <c r="C54" i="2"/>
  <c r="B54" i="2"/>
  <c r="A48" i="19" l="1"/>
  <c r="K47" i="19"/>
  <c r="I47" i="19"/>
  <c r="J47" i="19"/>
  <c r="H47" i="19"/>
  <c r="L47" i="19"/>
  <c r="C47" i="19"/>
  <c r="D47" i="19"/>
  <c r="E47" i="19"/>
  <c r="B47" i="19"/>
  <c r="F47" i="19"/>
  <c r="V39" i="12"/>
  <c r="F39" i="12"/>
  <c r="BG52" i="2"/>
  <c r="AD39" i="12"/>
  <c r="AL39" i="10"/>
  <c r="AP39" i="12"/>
  <c r="T140" i="12" s="1"/>
  <c r="AT39" i="12"/>
  <c r="V39" i="10"/>
  <c r="R39" i="10"/>
  <c r="H140" i="10" s="1"/>
  <c r="R39" i="12"/>
  <c r="H140" i="12" s="1"/>
  <c r="AE41" i="12"/>
  <c r="AF41" i="12" s="1"/>
  <c r="AG41" i="12" s="1"/>
  <c r="AE41" i="10"/>
  <c r="AF41" i="10" s="1"/>
  <c r="AG41" i="10" s="1"/>
  <c r="A42" i="12"/>
  <c r="A42" i="10"/>
  <c r="K140" i="12"/>
  <c r="M140" i="12" s="1"/>
  <c r="N140" i="12" s="1"/>
  <c r="K140" i="10"/>
  <c r="M140" i="10" s="1"/>
  <c r="N140" i="10" s="1"/>
  <c r="K140" i="3"/>
  <c r="M140" i="3" s="1"/>
  <c r="N140" i="3" s="1"/>
  <c r="BH40" i="12"/>
  <c r="BI40" i="12" s="1"/>
  <c r="BN40" i="12" s="1"/>
  <c r="AF141" i="12" s="1"/>
  <c r="D40" i="12"/>
  <c r="E40" i="12" s="1"/>
  <c r="F40" i="12" s="1"/>
  <c r="D40" i="10"/>
  <c r="E40" i="10" s="1"/>
  <c r="F40" i="10" s="1"/>
  <c r="AR40" i="10"/>
  <c r="AS40" i="10" s="1"/>
  <c r="AT40" i="10" s="1"/>
  <c r="S140" i="12"/>
  <c r="S140" i="10"/>
  <c r="U140" i="10" s="1"/>
  <c r="V140" i="10" s="1"/>
  <c r="S140" i="3"/>
  <c r="AM41" i="12"/>
  <c r="AN41" i="12" s="1"/>
  <c r="AO41" i="12" s="1"/>
  <c r="AM41" i="10"/>
  <c r="AN41" i="10" s="1"/>
  <c r="AO41" i="10" s="1"/>
  <c r="AU41" i="12"/>
  <c r="AV41" i="12" s="1"/>
  <c r="AW41" i="12" s="1"/>
  <c r="AU41" i="10"/>
  <c r="AV41" i="10" s="1"/>
  <c r="AW41" i="10" s="1"/>
  <c r="C140" i="12"/>
  <c r="E140" i="12" s="1"/>
  <c r="F140" i="12" s="1"/>
  <c r="C140" i="10"/>
  <c r="C140" i="3"/>
  <c r="O140" i="12"/>
  <c r="Q140" i="12" s="1"/>
  <c r="R140" i="12" s="1"/>
  <c r="O140" i="10"/>
  <c r="Q140" i="10" s="1"/>
  <c r="R140" i="10" s="1"/>
  <c r="O140" i="3"/>
  <c r="Q140" i="3" s="1"/>
  <c r="R140" i="3" s="1"/>
  <c r="G140" i="12"/>
  <c r="I140" i="12" s="1"/>
  <c r="J140" i="12" s="1"/>
  <c r="G140" i="10"/>
  <c r="G140" i="3"/>
  <c r="T40" i="12"/>
  <c r="U40" i="12" s="1"/>
  <c r="Z40" i="12" s="1"/>
  <c r="L141" i="12" s="1"/>
  <c r="V40" i="12"/>
  <c r="L40" i="12"/>
  <c r="M40" i="12" s="1"/>
  <c r="R40" i="12" s="1"/>
  <c r="H141" i="12" s="1"/>
  <c r="AB40" i="10"/>
  <c r="AC40" i="10" s="1"/>
  <c r="AH40" i="10" s="1"/>
  <c r="P141" i="10" s="1"/>
  <c r="BH40" i="10"/>
  <c r="BI40" i="10" s="1"/>
  <c r="BJ40" i="10" s="1"/>
  <c r="E139" i="3"/>
  <c r="F139" i="3" s="1"/>
  <c r="I139" i="3"/>
  <c r="J139" i="3" s="1"/>
  <c r="W41" i="12"/>
  <c r="X41" i="12" s="1"/>
  <c r="Y41" i="12" s="1"/>
  <c r="W41" i="10"/>
  <c r="X41" i="10" s="1"/>
  <c r="Y41" i="10" s="1"/>
  <c r="AA140" i="12"/>
  <c r="AC140" i="12" s="1"/>
  <c r="AD140" i="12" s="1"/>
  <c r="AA140" i="10"/>
  <c r="AC140" i="10" s="1"/>
  <c r="AD140" i="10" s="1"/>
  <c r="AA140" i="3"/>
  <c r="AC140" i="3" s="1"/>
  <c r="AD140" i="3" s="1"/>
  <c r="W140" i="12"/>
  <c r="Y140" i="12" s="1"/>
  <c r="Z140" i="12" s="1"/>
  <c r="W140" i="10"/>
  <c r="W140" i="3"/>
  <c r="AX39" i="10"/>
  <c r="X140" i="10" s="1"/>
  <c r="AD39" i="10"/>
  <c r="E140" i="10"/>
  <c r="F140" i="10" s="1"/>
  <c r="BB39" i="10"/>
  <c r="AZ40" i="12"/>
  <c r="BA40" i="12" s="1"/>
  <c r="BB40" i="12" s="1"/>
  <c r="AR40" i="12"/>
  <c r="AS40" i="12" s="1"/>
  <c r="AT40" i="12" s="1"/>
  <c r="AQ41" i="10"/>
  <c r="C41" i="10"/>
  <c r="S41" i="10"/>
  <c r="BG41" i="10"/>
  <c r="AA41" i="10"/>
  <c r="AY41" i="10"/>
  <c r="K41" i="10"/>
  <c r="AI41" i="10"/>
  <c r="BB39" i="12"/>
  <c r="T40" i="10"/>
  <c r="U40" i="10" s="1"/>
  <c r="V40" i="10" s="1"/>
  <c r="L40" i="10"/>
  <c r="M40" i="10" s="1"/>
  <c r="R40" i="10" s="1"/>
  <c r="H141" i="10" s="1"/>
  <c r="O41" i="12"/>
  <c r="P41" i="12" s="1"/>
  <c r="Q41" i="12" s="1"/>
  <c r="O41" i="10"/>
  <c r="P41" i="10" s="1"/>
  <c r="Q41" i="10" s="1"/>
  <c r="BK41" i="12"/>
  <c r="BL41" i="12" s="1"/>
  <c r="BM41" i="12" s="1"/>
  <c r="BK41" i="10"/>
  <c r="BL41" i="10" s="1"/>
  <c r="BM41" i="10" s="1"/>
  <c r="G41" i="12"/>
  <c r="H41" i="12" s="1"/>
  <c r="I41" i="12" s="1"/>
  <c r="G41" i="10"/>
  <c r="H41" i="10" s="1"/>
  <c r="I41" i="10" s="1"/>
  <c r="BC41" i="12"/>
  <c r="BD41" i="12" s="1"/>
  <c r="BE41" i="12" s="1"/>
  <c r="BC41" i="10"/>
  <c r="BD41" i="10" s="1"/>
  <c r="BE41" i="10" s="1"/>
  <c r="AS53" i="2"/>
  <c r="AT53" i="2" s="1"/>
  <c r="AG53" i="2"/>
  <c r="AH53" i="2" s="1"/>
  <c r="AE140" i="12"/>
  <c r="AE140" i="10"/>
  <c r="AG140" i="10" s="1"/>
  <c r="AH140" i="10" s="1"/>
  <c r="AE140" i="3"/>
  <c r="BN39" i="12"/>
  <c r="AF140" i="12" s="1"/>
  <c r="AB40" i="12"/>
  <c r="AC40" i="12" s="1"/>
  <c r="AH40" i="12" s="1"/>
  <c r="P141" i="12" s="1"/>
  <c r="AJ40" i="12"/>
  <c r="AK40" i="12" s="1"/>
  <c r="AL40" i="12" s="1"/>
  <c r="AA41" i="12"/>
  <c r="AQ41" i="12"/>
  <c r="S41" i="12"/>
  <c r="BG41" i="12"/>
  <c r="K41" i="12"/>
  <c r="C41" i="12"/>
  <c r="AI41" i="12"/>
  <c r="AY41" i="12"/>
  <c r="AZ40" i="10"/>
  <c r="BA40" i="10" s="1"/>
  <c r="BB40" i="10" s="1"/>
  <c r="AJ40" i="10"/>
  <c r="AK40" i="10" s="1"/>
  <c r="AP40" i="10" s="1"/>
  <c r="T141" i="10" s="1"/>
  <c r="AT39" i="3"/>
  <c r="AD39" i="3"/>
  <c r="F39" i="3"/>
  <c r="AL39" i="3"/>
  <c r="BN39" i="3"/>
  <c r="AF140" i="3" s="1"/>
  <c r="R39" i="3"/>
  <c r="H140" i="3" s="1"/>
  <c r="N39" i="3"/>
  <c r="J39" i="3"/>
  <c r="D140" i="3" s="1"/>
  <c r="AA53" i="2"/>
  <c r="AB53" i="2" s="1"/>
  <c r="AY53" i="2"/>
  <c r="AZ53" i="2" s="1"/>
  <c r="AX39" i="3"/>
  <c r="X140" i="3" s="1"/>
  <c r="BE53" i="2"/>
  <c r="BF53" i="2" s="1"/>
  <c r="BK41" i="3"/>
  <c r="BL41" i="3" s="1"/>
  <c r="BM41" i="3" s="1"/>
  <c r="BA54" i="2"/>
  <c r="BC54" i="2"/>
  <c r="G41" i="3"/>
  <c r="H41" i="3" s="1"/>
  <c r="I41" i="3" s="1"/>
  <c r="K54" i="2"/>
  <c r="M54" i="2"/>
  <c r="N54" i="2" s="1"/>
  <c r="BC41" i="3"/>
  <c r="BD41" i="3" s="1"/>
  <c r="BE41" i="3" s="1"/>
  <c r="AU54" i="2"/>
  <c r="AW54" i="2"/>
  <c r="AA41" i="3"/>
  <c r="S41" i="3"/>
  <c r="C41" i="3"/>
  <c r="BG41" i="3"/>
  <c r="AQ41" i="3"/>
  <c r="AI41" i="3"/>
  <c r="K41" i="3"/>
  <c r="AY41" i="3"/>
  <c r="AP39" i="3"/>
  <c r="T140" i="3" s="1"/>
  <c r="AJ40" i="3"/>
  <c r="AK40" i="3" s="1"/>
  <c r="D40" i="3"/>
  <c r="E40" i="3" s="1"/>
  <c r="E35" i="22" s="1"/>
  <c r="AM53" i="2"/>
  <c r="AN53" i="2" s="1"/>
  <c r="O41" i="3"/>
  <c r="P41" i="3" s="1"/>
  <c r="Q41" i="3" s="1"/>
  <c r="Q54" i="2"/>
  <c r="S54" i="2"/>
  <c r="W41" i="3"/>
  <c r="X41" i="3" s="1"/>
  <c r="Y41" i="3" s="1"/>
  <c r="W54" i="2"/>
  <c r="Y54" i="2"/>
  <c r="AE41" i="3"/>
  <c r="AF41" i="3" s="1"/>
  <c r="AG41" i="3" s="1"/>
  <c r="AC54" i="2"/>
  <c r="AE54" i="2"/>
  <c r="A56" i="2"/>
  <c r="A42" i="3"/>
  <c r="H55" i="2"/>
  <c r="G55" i="2"/>
  <c r="I55" i="2"/>
  <c r="F55" i="2"/>
  <c r="D55" i="2"/>
  <c r="E55" i="2"/>
  <c r="C55" i="2"/>
  <c r="B55" i="2"/>
  <c r="T40" i="3"/>
  <c r="U40" i="3" s="1"/>
  <c r="AB40" i="3"/>
  <c r="AC40" i="3" s="1"/>
  <c r="BJ39" i="3"/>
  <c r="AM41" i="3"/>
  <c r="AN41" i="3" s="1"/>
  <c r="AO41" i="3" s="1"/>
  <c r="AI54" i="2"/>
  <c r="AK54" i="2"/>
  <c r="AU41" i="3"/>
  <c r="AV41" i="3" s="1"/>
  <c r="AW41" i="3" s="1"/>
  <c r="AO54" i="2"/>
  <c r="AQ54" i="2"/>
  <c r="L53" i="2"/>
  <c r="O53" i="2"/>
  <c r="P53" i="2" s="1"/>
  <c r="AZ40" i="3"/>
  <c r="BA40" i="3" s="1"/>
  <c r="BH40" i="3"/>
  <c r="BI40" i="3" s="1"/>
  <c r="U53" i="2"/>
  <c r="V53" i="2" s="1"/>
  <c r="L40" i="3"/>
  <c r="M40" i="3" s="1"/>
  <c r="AR40" i="3"/>
  <c r="AS40" i="3" s="1"/>
  <c r="BG53" i="2" l="1"/>
  <c r="I140" i="10"/>
  <c r="J140" i="10" s="1"/>
  <c r="AP40" i="12"/>
  <c r="T141" i="12" s="1"/>
  <c r="A49" i="19"/>
  <c r="J48" i="19"/>
  <c r="H48" i="19"/>
  <c r="L48" i="19"/>
  <c r="I48" i="19"/>
  <c r="K48" i="19"/>
  <c r="B48" i="19"/>
  <c r="F48" i="19"/>
  <c r="C48" i="19"/>
  <c r="D48" i="19"/>
  <c r="E48" i="19"/>
  <c r="U140" i="12"/>
  <c r="V140" i="12" s="1"/>
  <c r="BJ40" i="12"/>
  <c r="J40" i="10"/>
  <c r="D141" i="10" s="1"/>
  <c r="BF40" i="10"/>
  <c r="AB141" i="10" s="1"/>
  <c r="BF40" i="12"/>
  <c r="AB141" i="12" s="1"/>
  <c r="BN40" i="10"/>
  <c r="AF141" i="10" s="1"/>
  <c r="AX40" i="10"/>
  <c r="X141" i="10" s="1"/>
  <c r="Y140" i="3"/>
  <c r="Z140" i="3" s="1"/>
  <c r="Y140" i="10"/>
  <c r="Z140" i="10" s="1"/>
  <c r="W42" i="12"/>
  <c r="X42" i="12" s="1"/>
  <c r="Y42" i="12" s="1"/>
  <c r="W42" i="10"/>
  <c r="X42" i="10" s="1"/>
  <c r="Y42" i="10" s="1"/>
  <c r="AM42" i="12"/>
  <c r="AN42" i="12" s="1"/>
  <c r="AO42" i="12" s="1"/>
  <c r="AM42" i="10"/>
  <c r="AN42" i="10" s="1"/>
  <c r="AO42" i="10" s="1"/>
  <c r="S141" i="12"/>
  <c r="U141" i="12" s="1"/>
  <c r="V141" i="12" s="1"/>
  <c r="S141" i="10"/>
  <c r="U141" i="10" s="1"/>
  <c r="V141" i="10" s="1"/>
  <c r="S141" i="3"/>
  <c r="K141" i="12"/>
  <c r="M141" i="12" s="1"/>
  <c r="N141" i="12" s="1"/>
  <c r="K141" i="10"/>
  <c r="K141" i="3"/>
  <c r="AJ41" i="12"/>
  <c r="AK41" i="12" s="1"/>
  <c r="AP41" i="12" s="1"/>
  <c r="T142" i="12" s="1"/>
  <c r="C141" i="12"/>
  <c r="C141" i="10"/>
  <c r="C141" i="3"/>
  <c r="O42" i="12"/>
  <c r="P42" i="12" s="1"/>
  <c r="Q42" i="12" s="1"/>
  <c r="O42" i="10"/>
  <c r="P42" i="10" s="1"/>
  <c r="Q42" i="10" s="1"/>
  <c r="BK42" i="12"/>
  <c r="BL42" i="12" s="1"/>
  <c r="BM42" i="12" s="1"/>
  <c r="BK42" i="10"/>
  <c r="BL42" i="10" s="1"/>
  <c r="BM42" i="10" s="1"/>
  <c r="A43" i="12"/>
  <c r="A43" i="10"/>
  <c r="AE141" i="12"/>
  <c r="AG141" i="12" s="1"/>
  <c r="AH141" i="12" s="1"/>
  <c r="AE141" i="10"/>
  <c r="AG141" i="10" s="1"/>
  <c r="AH141" i="10" s="1"/>
  <c r="AE141" i="3"/>
  <c r="AL40" i="10"/>
  <c r="D41" i="12"/>
  <c r="E41" i="12" s="1"/>
  <c r="J41" i="12" s="1"/>
  <c r="D142" i="12" s="1"/>
  <c r="AR41" i="12"/>
  <c r="AS41" i="12" s="1"/>
  <c r="AX41" i="12" s="1"/>
  <c r="X142" i="12" s="1"/>
  <c r="AG140" i="3"/>
  <c r="AH140" i="3" s="1"/>
  <c r="W141" i="12"/>
  <c r="W141" i="10"/>
  <c r="Y141" i="10" s="1"/>
  <c r="Z141" i="10" s="1"/>
  <c r="W141" i="3"/>
  <c r="Z40" i="10"/>
  <c r="L141" i="10" s="1"/>
  <c r="AJ41" i="10"/>
  <c r="AK41" i="10" s="1"/>
  <c r="AP41" i="10" s="1"/>
  <c r="T142" i="10" s="1"/>
  <c r="BH41" i="10"/>
  <c r="BI41" i="10" s="1"/>
  <c r="BN41" i="10" s="1"/>
  <c r="AF142" i="10" s="1"/>
  <c r="AX40" i="12"/>
  <c r="X141" i="12" s="1"/>
  <c r="N40" i="12"/>
  <c r="E140" i="3"/>
  <c r="F140" i="3" s="1"/>
  <c r="J40" i="12"/>
  <c r="D141" i="12" s="1"/>
  <c r="AQ42" i="10"/>
  <c r="AI42" i="10"/>
  <c r="K42" i="10"/>
  <c r="C42" i="10"/>
  <c r="S42" i="10"/>
  <c r="BG42" i="10"/>
  <c r="AA42" i="10"/>
  <c r="AY42" i="10"/>
  <c r="BC42" i="12"/>
  <c r="BD42" i="12" s="1"/>
  <c r="BE42" i="12" s="1"/>
  <c r="BC42" i="10"/>
  <c r="BD42" i="10" s="1"/>
  <c r="BE42" i="10" s="1"/>
  <c r="G141" i="12"/>
  <c r="I141" i="12" s="1"/>
  <c r="J141" i="12" s="1"/>
  <c r="G141" i="10"/>
  <c r="I141" i="10" s="1"/>
  <c r="J141" i="10" s="1"/>
  <c r="G141" i="3"/>
  <c r="AE42" i="12"/>
  <c r="AF42" i="12" s="1"/>
  <c r="AG42" i="12" s="1"/>
  <c r="AE42" i="10"/>
  <c r="AF42" i="10" s="1"/>
  <c r="AG42" i="10" s="1"/>
  <c r="AU42" i="12"/>
  <c r="AV42" i="12" s="1"/>
  <c r="AW42" i="12" s="1"/>
  <c r="AU42" i="10"/>
  <c r="AV42" i="10" s="1"/>
  <c r="AW42" i="10" s="1"/>
  <c r="L41" i="12"/>
  <c r="M41" i="12" s="1"/>
  <c r="N41" i="12" s="1"/>
  <c r="AB41" i="12"/>
  <c r="AC41" i="12" s="1"/>
  <c r="AH41" i="12" s="1"/>
  <c r="P142" i="12" s="1"/>
  <c r="AD40" i="12"/>
  <c r="N40" i="10"/>
  <c r="L41" i="10"/>
  <c r="M41" i="10" s="1"/>
  <c r="R41" i="10" s="1"/>
  <c r="H142" i="10" s="1"/>
  <c r="T41" i="10"/>
  <c r="U41" i="10" s="1"/>
  <c r="Z41" i="10" s="1"/>
  <c r="L142" i="10" s="1"/>
  <c r="AY42" i="12"/>
  <c r="S42" i="12"/>
  <c r="BG42" i="12"/>
  <c r="K42" i="12"/>
  <c r="AA42" i="12"/>
  <c r="AQ42" i="12"/>
  <c r="C42" i="12"/>
  <c r="AI42" i="12"/>
  <c r="AA141" i="12"/>
  <c r="AC141" i="12" s="1"/>
  <c r="AD141" i="12" s="1"/>
  <c r="AA141" i="10"/>
  <c r="AC141" i="10" s="1"/>
  <c r="AD141" i="10" s="1"/>
  <c r="AA141" i="3"/>
  <c r="AZ41" i="12"/>
  <c r="BA41" i="12" s="1"/>
  <c r="BF41" i="12" s="1"/>
  <c r="AB142" i="12" s="1"/>
  <c r="BH41" i="12"/>
  <c r="BI41" i="12" s="1"/>
  <c r="BN41" i="12" s="1"/>
  <c r="AF142" i="12" s="1"/>
  <c r="AG140" i="12"/>
  <c r="AH140" i="12" s="1"/>
  <c r="AZ41" i="10"/>
  <c r="BA41" i="10" s="1"/>
  <c r="BB41" i="10" s="1"/>
  <c r="D41" i="10"/>
  <c r="E41" i="10" s="1"/>
  <c r="F41" i="10" s="1"/>
  <c r="AD40" i="10"/>
  <c r="I140" i="3"/>
  <c r="J140" i="3" s="1"/>
  <c r="E141" i="10"/>
  <c r="F141" i="10" s="1"/>
  <c r="G42" i="12"/>
  <c r="H42" i="12" s="1"/>
  <c r="I42" i="12" s="1"/>
  <c r="G42" i="10"/>
  <c r="H42" i="10" s="1"/>
  <c r="I42" i="10" s="1"/>
  <c r="T41" i="12"/>
  <c r="U41" i="12" s="1"/>
  <c r="Z41" i="12" s="1"/>
  <c r="L142" i="12" s="1"/>
  <c r="O141" i="12"/>
  <c r="Q141" i="12" s="1"/>
  <c r="R141" i="12" s="1"/>
  <c r="O141" i="10"/>
  <c r="Q141" i="10" s="1"/>
  <c r="R141" i="10" s="1"/>
  <c r="O141" i="3"/>
  <c r="AB41" i="10"/>
  <c r="AC41" i="10" s="1"/>
  <c r="AH41" i="10" s="1"/>
  <c r="P142" i="10" s="1"/>
  <c r="AR41" i="10"/>
  <c r="AS41" i="10" s="1"/>
  <c r="AX41" i="10" s="1"/>
  <c r="X142" i="10" s="1"/>
  <c r="U140" i="3"/>
  <c r="V140" i="3" s="1"/>
  <c r="BN40" i="3"/>
  <c r="AF141" i="3" s="1"/>
  <c r="AT40" i="3"/>
  <c r="BF40" i="3"/>
  <c r="AB141" i="3" s="1"/>
  <c r="Z40" i="3"/>
  <c r="L141" i="3" s="1"/>
  <c r="R40" i="3"/>
  <c r="H141" i="3" s="1"/>
  <c r="J40" i="3"/>
  <c r="D141" i="3" s="1"/>
  <c r="AD40" i="3"/>
  <c r="AL40" i="3"/>
  <c r="AG54" i="2"/>
  <c r="AH54" i="2" s="1"/>
  <c r="U54" i="2"/>
  <c r="V54" i="2" s="1"/>
  <c r="F40" i="3"/>
  <c r="AP40" i="3"/>
  <c r="T141" i="3" s="1"/>
  <c r="BE54" i="2"/>
  <c r="BF54" i="2" s="1"/>
  <c r="BB40" i="3"/>
  <c r="AS54" i="2"/>
  <c r="AT54" i="2" s="1"/>
  <c r="BJ40" i="3"/>
  <c r="W42" i="3"/>
  <c r="X42" i="3" s="1"/>
  <c r="Y42" i="3" s="1"/>
  <c r="W55" i="2"/>
  <c r="Y55" i="2"/>
  <c r="AU55" i="2"/>
  <c r="BC42" i="3"/>
  <c r="BD42" i="3" s="1"/>
  <c r="BE42" i="3" s="1"/>
  <c r="AW55" i="2"/>
  <c r="N40" i="3"/>
  <c r="AM54" i="2"/>
  <c r="AN54" i="2" s="1"/>
  <c r="AH40" i="3"/>
  <c r="P141" i="3" s="1"/>
  <c r="G42" i="3"/>
  <c r="H42" i="3" s="1"/>
  <c r="I42" i="3" s="1"/>
  <c r="K55" i="2"/>
  <c r="M55" i="2"/>
  <c r="N55" i="2" s="1"/>
  <c r="AM42" i="3"/>
  <c r="AN42" i="3" s="1"/>
  <c r="AO42" i="3" s="1"/>
  <c r="AI55" i="2"/>
  <c r="AK55" i="2"/>
  <c r="C42" i="3"/>
  <c r="K42" i="3"/>
  <c r="AY42" i="3"/>
  <c r="AQ42" i="3"/>
  <c r="S42" i="3"/>
  <c r="AA42" i="3"/>
  <c r="AI42" i="3"/>
  <c r="BG42" i="3"/>
  <c r="L41" i="3"/>
  <c r="M41" i="3" s="1"/>
  <c r="D41" i="3"/>
  <c r="E41" i="3" s="1"/>
  <c r="E36" i="22" s="1"/>
  <c r="AY54" i="2"/>
  <c r="AZ54" i="2" s="1"/>
  <c r="BK42" i="3"/>
  <c r="BL42" i="3" s="1"/>
  <c r="BM42" i="3" s="1"/>
  <c r="BA55" i="2"/>
  <c r="BC55" i="2"/>
  <c r="A57" i="2"/>
  <c r="A43" i="3"/>
  <c r="I56" i="2"/>
  <c r="G56" i="2"/>
  <c r="H56" i="2"/>
  <c r="E56" i="2"/>
  <c r="D56" i="2"/>
  <c r="C56" i="2"/>
  <c r="B56" i="2"/>
  <c r="F56" i="2"/>
  <c r="AJ41" i="3"/>
  <c r="AK41" i="3" s="1"/>
  <c r="T41" i="3"/>
  <c r="U41" i="3" s="1"/>
  <c r="O42" i="3"/>
  <c r="P42" i="3" s="1"/>
  <c r="Q42" i="3" s="1"/>
  <c r="Q55" i="2"/>
  <c r="S55" i="2"/>
  <c r="AX40" i="3"/>
  <c r="X141" i="3" s="1"/>
  <c r="V40" i="3"/>
  <c r="AE42" i="3"/>
  <c r="AF42" i="3" s="1"/>
  <c r="AG42" i="3" s="1"/>
  <c r="AC55" i="2"/>
  <c r="AE55" i="2"/>
  <c r="AU42" i="3"/>
  <c r="AV42" i="3" s="1"/>
  <c r="AW42" i="3" s="1"/>
  <c r="AO55" i="2"/>
  <c r="AQ55" i="2"/>
  <c r="AA54" i="2"/>
  <c r="AB54" i="2" s="1"/>
  <c r="AR41" i="3"/>
  <c r="AS41" i="3" s="1"/>
  <c r="AB41" i="3"/>
  <c r="AC41" i="3" s="1"/>
  <c r="AZ41" i="3"/>
  <c r="BA41" i="3" s="1"/>
  <c r="BH41" i="3"/>
  <c r="BI41" i="3" s="1"/>
  <c r="O54" i="2"/>
  <c r="P54" i="2" s="1"/>
  <c r="L54" i="2"/>
  <c r="BJ41" i="12" l="1"/>
  <c r="AL41" i="12"/>
  <c r="V41" i="12"/>
  <c r="BB41" i="12"/>
  <c r="R41" i="12"/>
  <c r="H142" i="12" s="1"/>
  <c r="A50" i="19"/>
  <c r="I49" i="19"/>
  <c r="K49" i="19"/>
  <c r="H49" i="19"/>
  <c r="L49" i="19"/>
  <c r="J49" i="19"/>
  <c r="E49" i="19"/>
  <c r="B49" i="19"/>
  <c r="F49" i="19"/>
  <c r="C49" i="19"/>
  <c r="D49" i="19"/>
  <c r="F41" i="12"/>
  <c r="BJ41" i="10"/>
  <c r="AT41" i="10"/>
  <c r="BF41" i="10"/>
  <c r="AB142" i="10" s="1"/>
  <c r="Y141" i="12"/>
  <c r="Z141" i="12" s="1"/>
  <c r="BG54" i="2"/>
  <c r="N41" i="10"/>
  <c r="J41" i="10"/>
  <c r="D142" i="10" s="1"/>
  <c r="C142" i="12"/>
  <c r="E142" i="12" s="1"/>
  <c r="F142" i="12" s="1"/>
  <c r="C142" i="10"/>
  <c r="C142" i="3"/>
  <c r="K142" i="12"/>
  <c r="M142" i="12" s="1"/>
  <c r="N142" i="12" s="1"/>
  <c r="K142" i="10"/>
  <c r="M142" i="10" s="1"/>
  <c r="N142" i="10" s="1"/>
  <c r="K142" i="3"/>
  <c r="G43" i="12"/>
  <c r="H43" i="12" s="1"/>
  <c r="I43" i="12" s="1"/>
  <c r="G43" i="10"/>
  <c r="H43" i="10" s="1"/>
  <c r="I43" i="10" s="1"/>
  <c r="A44" i="12"/>
  <c r="A44" i="10"/>
  <c r="O43" i="12"/>
  <c r="P43" i="12" s="1"/>
  <c r="Q43" i="12" s="1"/>
  <c r="O43" i="10"/>
  <c r="P43" i="10" s="1"/>
  <c r="Q43" i="10" s="1"/>
  <c r="AU43" i="12"/>
  <c r="AV43" i="12" s="1"/>
  <c r="AW43" i="12" s="1"/>
  <c r="AU43" i="10"/>
  <c r="AV43" i="10" s="1"/>
  <c r="AW43" i="10" s="1"/>
  <c r="AE142" i="12"/>
  <c r="AG142" i="12" s="1"/>
  <c r="AH142" i="12" s="1"/>
  <c r="AE142" i="10"/>
  <c r="AG142" i="10" s="1"/>
  <c r="AH142" i="10" s="1"/>
  <c r="AE142" i="3"/>
  <c r="O142" i="12"/>
  <c r="Q142" i="12" s="1"/>
  <c r="R142" i="12" s="1"/>
  <c r="O142" i="10"/>
  <c r="Q142" i="10" s="1"/>
  <c r="R142" i="10" s="1"/>
  <c r="O142" i="3"/>
  <c r="Q141" i="3"/>
  <c r="R141" i="3" s="1"/>
  <c r="AJ42" i="12"/>
  <c r="AK42" i="12" s="1"/>
  <c r="AP42" i="12" s="1"/>
  <c r="T143" i="12" s="1"/>
  <c r="L42" i="12"/>
  <c r="M42" i="12" s="1"/>
  <c r="R42" i="12" s="1"/>
  <c r="H143" i="12" s="1"/>
  <c r="V41" i="10"/>
  <c r="BH42" i="10"/>
  <c r="BI42" i="10" s="1"/>
  <c r="BN42" i="10" s="1"/>
  <c r="AF143" i="10" s="1"/>
  <c r="AJ42" i="10"/>
  <c r="AK42" i="10" s="1"/>
  <c r="AL42" i="10" s="1"/>
  <c r="AL41" i="10"/>
  <c r="Y141" i="3"/>
  <c r="Z141" i="3" s="1"/>
  <c r="AT41" i="12"/>
  <c r="E141" i="3"/>
  <c r="F141" i="3" s="1"/>
  <c r="BC43" i="12"/>
  <c r="BD43" i="12" s="1"/>
  <c r="BE43" i="12" s="1"/>
  <c r="BC43" i="10"/>
  <c r="BD43" i="10" s="1"/>
  <c r="BE43" i="10" s="1"/>
  <c r="W43" i="12"/>
  <c r="X43" i="12" s="1"/>
  <c r="Y43" i="12" s="1"/>
  <c r="W43" i="10"/>
  <c r="X43" i="10" s="1"/>
  <c r="Y43" i="10" s="1"/>
  <c r="BK43" i="12"/>
  <c r="BL43" i="12" s="1"/>
  <c r="BM43" i="12" s="1"/>
  <c r="BK43" i="10"/>
  <c r="BL43" i="10" s="1"/>
  <c r="BM43" i="10" s="1"/>
  <c r="S142" i="12"/>
  <c r="U142" i="12" s="1"/>
  <c r="V142" i="12" s="1"/>
  <c r="S142" i="10"/>
  <c r="U142" i="10" s="1"/>
  <c r="V142" i="10" s="1"/>
  <c r="S142" i="3"/>
  <c r="AD41" i="10"/>
  <c r="AC141" i="3"/>
  <c r="AD141" i="3" s="1"/>
  <c r="D42" i="12"/>
  <c r="E42" i="12" s="1"/>
  <c r="J42" i="12" s="1"/>
  <c r="D143" i="12" s="1"/>
  <c r="BH42" i="12"/>
  <c r="BI42" i="12" s="1"/>
  <c r="BJ42" i="12" s="1"/>
  <c r="AD41" i="12"/>
  <c r="I141" i="3"/>
  <c r="J141" i="3" s="1"/>
  <c r="T42" i="10"/>
  <c r="U42" i="10" s="1"/>
  <c r="Z42" i="10" s="1"/>
  <c r="L143" i="10" s="1"/>
  <c r="AR42" i="10"/>
  <c r="AS42" i="10" s="1"/>
  <c r="AT42" i="10" s="1"/>
  <c r="U141" i="3"/>
  <c r="V141" i="3" s="1"/>
  <c r="AM43" i="12"/>
  <c r="AN43" i="12" s="1"/>
  <c r="AO43" i="12" s="1"/>
  <c r="AM43" i="10"/>
  <c r="AN43" i="10" s="1"/>
  <c r="AO43" i="10" s="1"/>
  <c r="AE43" i="12"/>
  <c r="AF43" i="12" s="1"/>
  <c r="AG43" i="12" s="1"/>
  <c r="AE43" i="10"/>
  <c r="AF43" i="10" s="1"/>
  <c r="AG43" i="10" s="1"/>
  <c r="W142" i="12"/>
  <c r="Y142" i="12" s="1"/>
  <c r="Z142" i="12" s="1"/>
  <c r="W142" i="10"/>
  <c r="Y142" i="10" s="1"/>
  <c r="Z142" i="10" s="1"/>
  <c r="W142" i="3"/>
  <c r="AR42" i="12"/>
  <c r="AS42" i="12" s="1"/>
  <c r="AX42" i="12" s="1"/>
  <c r="X143" i="12" s="1"/>
  <c r="T42" i="12"/>
  <c r="U42" i="12" s="1"/>
  <c r="Z42" i="12" s="1"/>
  <c r="L143" i="12" s="1"/>
  <c r="AZ42" i="10"/>
  <c r="BA42" i="10" s="1"/>
  <c r="BF42" i="10" s="1"/>
  <c r="AB143" i="10" s="1"/>
  <c r="D42" i="10"/>
  <c r="E42" i="10" s="1"/>
  <c r="F42" i="10" s="1"/>
  <c r="C43" i="10"/>
  <c r="K43" i="10"/>
  <c r="AY43" i="10"/>
  <c r="S43" i="10"/>
  <c r="BG43" i="10"/>
  <c r="AA43" i="10"/>
  <c r="AI43" i="10"/>
  <c r="AQ43" i="10"/>
  <c r="E141" i="12"/>
  <c r="F141" i="12" s="1"/>
  <c r="M141" i="3"/>
  <c r="N141" i="3" s="1"/>
  <c r="AA142" i="12"/>
  <c r="AC142" i="12" s="1"/>
  <c r="AD142" i="12" s="1"/>
  <c r="AA142" i="10"/>
  <c r="AC142" i="10" s="1"/>
  <c r="AD142" i="10" s="1"/>
  <c r="AA142" i="3"/>
  <c r="G142" i="12"/>
  <c r="I142" i="12" s="1"/>
  <c r="J142" i="12" s="1"/>
  <c r="G142" i="10"/>
  <c r="I142" i="10" s="1"/>
  <c r="J142" i="10" s="1"/>
  <c r="G142" i="3"/>
  <c r="E142" i="10"/>
  <c r="F142" i="10" s="1"/>
  <c r="AB42" i="12"/>
  <c r="AC42" i="12" s="1"/>
  <c r="AH42" i="12" s="1"/>
  <c r="P143" i="12" s="1"/>
  <c r="AZ42" i="12"/>
  <c r="BA42" i="12" s="1"/>
  <c r="BF42" i="12" s="1"/>
  <c r="AB143" i="12" s="1"/>
  <c r="AB42" i="10"/>
  <c r="AC42" i="10" s="1"/>
  <c r="AH42" i="10" s="1"/>
  <c r="P143" i="10" s="1"/>
  <c r="L42" i="10"/>
  <c r="M42" i="10" s="1"/>
  <c r="R42" i="10" s="1"/>
  <c r="H143" i="10" s="1"/>
  <c r="AG141" i="3"/>
  <c r="AH141" i="3" s="1"/>
  <c r="AQ43" i="12"/>
  <c r="K43" i="12"/>
  <c r="C43" i="12"/>
  <c r="AI43" i="12"/>
  <c r="AY43" i="12"/>
  <c r="AA43" i="12"/>
  <c r="S43" i="12"/>
  <c r="BG43" i="12"/>
  <c r="M141" i="10"/>
  <c r="N141" i="10" s="1"/>
  <c r="AP41" i="3"/>
  <c r="T142" i="3" s="1"/>
  <c r="AT41" i="3"/>
  <c r="AD41" i="3"/>
  <c r="R41" i="3"/>
  <c r="H142" i="3" s="1"/>
  <c r="BJ41" i="3"/>
  <c r="BB41" i="3"/>
  <c r="Z41" i="3"/>
  <c r="L142" i="3" s="1"/>
  <c r="F41" i="3"/>
  <c r="AL41" i="3"/>
  <c r="BE55" i="2"/>
  <c r="BF55" i="2" s="1"/>
  <c r="J41" i="3"/>
  <c r="D142" i="3" s="1"/>
  <c r="V41" i="3"/>
  <c r="AH41" i="3"/>
  <c r="P142" i="3" s="1"/>
  <c r="AG55" i="2"/>
  <c r="AH55" i="2" s="1"/>
  <c r="O43" i="3"/>
  <c r="P43" i="3" s="1"/>
  <c r="Q43" i="3" s="1"/>
  <c r="Q56" i="2"/>
  <c r="S56" i="2"/>
  <c r="AU43" i="3"/>
  <c r="AV43" i="3" s="1"/>
  <c r="AW43" i="3" s="1"/>
  <c r="AO56" i="2"/>
  <c r="AQ56" i="2"/>
  <c r="N41" i="3"/>
  <c r="T42" i="3"/>
  <c r="U42" i="3" s="1"/>
  <c r="V42" i="3" s="1"/>
  <c r="D42" i="3"/>
  <c r="E42" i="3" s="1"/>
  <c r="E37" i="22" s="1"/>
  <c r="AY55" i="2"/>
  <c r="AZ55" i="2" s="1"/>
  <c r="BN41" i="3"/>
  <c r="AF142" i="3" s="1"/>
  <c r="W43" i="3"/>
  <c r="X43" i="3" s="1"/>
  <c r="Y43" i="3" s="1"/>
  <c r="W56" i="2"/>
  <c r="Y56" i="2"/>
  <c r="BK43" i="3"/>
  <c r="BL43" i="3" s="1"/>
  <c r="BM43" i="3" s="1"/>
  <c r="BA56" i="2"/>
  <c r="BC56" i="2"/>
  <c r="BH42" i="3"/>
  <c r="BI42" i="3" s="1"/>
  <c r="AR42" i="3"/>
  <c r="AS42" i="3" s="1"/>
  <c r="O55" i="2"/>
  <c r="P55" i="2" s="1"/>
  <c r="L55" i="2"/>
  <c r="AS55" i="2"/>
  <c r="AT55" i="2" s="1"/>
  <c r="U55" i="2"/>
  <c r="V55" i="2" s="1"/>
  <c r="AM43" i="3"/>
  <c r="AN43" i="3" s="1"/>
  <c r="AO43" i="3" s="1"/>
  <c r="AI56" i="2"/>
  <c r="AK56" i="2"/>
  <c r="AE43" i="3"/>
  <c r="AF43" i="3" s="1"/>
  <c r="AG43" i="3" s="1"/>
  <c r="AC56" i="2"/>
  <c r="AE56" i="2"/>
  <c r="AQ43" i="3"/>
  <c r="BG43" i="3"/>
  <c r="S43" i="3"/>
  <c r="AI43" i="3"/>
  <c r="K43" i="3"/>
  <c r="AA43" i="3"/>
  <c r="C43" i="3"/>
  <c r="AY43" i="3"/>
  <c r="AJ42" i="3"/>
  <c r="AK42" i="3" s="1"/>
  <c r="AZ42" i="3"/>
  <c r="BA42" i="3" s="1"/>
  <c r="AM55" i="2"/>
  <c r="AN55" i="2" s="1"/>
  <c r="AA55" i="2"/>
  <c r="AB55" i="2" s="1"/>
  <c r="BF41" i="3"/>
  <c r="AB142" i="3" s="1"/>
  <c r="AX41" i="3"/>
  <c r="X142" i="3" s="1"/>
  <c r="G43" i="3"/>
  <c r="H43" i="3" s="1"/>
  <c r="I43" i="3" s="1"/>
  <c r="K56" i="2"/>
  <c r="M56" i="2"/>
  <c r="N56" i="2" s="1"/>
  <c r="BC43" i="3"/>
  <c r="BD43" i="3" s="1"/>
  <c r="BE43" i="3" s="1"/>
  <c r="AU56" i="2"/>
  <c r="AW56" i="2"/>
  <c r="A58" i="2"/>
  <c r="A44" i="3"/>
  <c r="G57" i="2"/>
  <c r="D57" i="2"/>
  <c r="H57" i="2"/>
  <c r="I57" i="2"/>
  <c r="F57" i="2"/>
  <c r="C57" i="2"/>
  <c r="B57" i="2"/>
  <c r="E57" i="2"/>
  <c r="AB42" i="3"/>
  <c r="AC42" i="3" s="1"/>
  <c r="L42" i="3"/>
  <c r="M42" i="3" s="1"/>
  <c r="AD42" i="12" l="1"/>
  <c r="A51" i="19"/>
  <c r="H50" i="19"/>
  <c r="L50" i="19"/>
  <c r="J50" i="19"/>
  <c r="K50" i="19"/>
  <c r="I50" i="19"/>
  <c r="D50" i="19"/>
  <c r="E50" i="19"/>
  <c r="B50" i="19"/>
  <c r="F50" i="19"/>
  <c r="C50" i="19"/>
  <c r="V42" i="12"/>
  <c r="F42" i="12"/>
  <c r="BB42" i="12"/>
  <c r="AL42" i="12"/>
  <c r="AT42" i="12"/>
  <c r="V42" i="10"/>
  <c r="BN42" i="12"/>
  <c r="AF143" i="12" s="1"/>
  <c r="BJ42" i="10"/>
  <c r="N42" i="12"/>
  <c r="BG55" i="2"/>
  <c r="AD42" i="10"/>
  <c r="J42" i="10"/>
  <c r="D143" i="10" s="1"/>
  <c r="AX42" i="10"/>
  <c r="X143" i="10" s="1"/>
  <c r="AE44" i="12"/>
  <c r="AF44" i="12" s="1"/>
  <c r="AG44" i="12" s="1"/>
  <c r="AE44" i="10"/>
  <c r="AF44" i="10" s="1"/>
  <c r="AG44" i="10" s="1"/>
  <c r="BK44" i="12"/>
  <c r="BL44" i="12" s="1"/>
  <c r="BM44" i="12" s="1"/>
  <c r="BK44" i="10"/>
  <c r="BL44" i="10" s="1"/>
  <c r="BM44" i="10" s="1"/>
  <c r="G143" i="12"/>
  <c r="I143" i="12" s="1"/>
  <c r="J143" i="12" s="1"/>
  <c r="G143" i="10"/>
  <c r="I143" i="10" s="1"/>
  <c r="J143" i="10" s="1"/>
  <c r="G143" i="3"/>
  <c r="BH43" i="12"/>
  <c r="BI43" i="12" s="1"/>
  <c r="BN43" i="12" s="1"/>
  <c r="AF144" i="12" s="1"/>
  <c r="AJ43" i="12"/>
  <c r="AK43" i="12" s="1"/>
  <c r="AL43" i="12" s="1"/>
  <c r="AB43" i="10"/>
  <c r="AC43" i="10" s="1"/>
  <c r="AH43" i="10" s="1"/>
  <c r="P144" i="10" s="1"/>
  <c r="L43" i="10"/>
  <c r="M43" i="10" s="1"/>
  <c r="R43" i="10" s="1"/>
  <c r="H144" i="10" s="1"/>
  <c r="AP42" i="10"/>
  <c r="T143" i="10" s="1"/>
  <c r="Q142" i="3"/>
  <c r="R142" i="3" s="1"/>
  <c r="G44" i="12"/>
  <c r="H44" i="12" s="1"/>
  <c r="I44" i="12" s="1"/>
  <c r="G44" i="10"/>
  <c r="H44" i="10" s="1"/>
  <c r="I44" i="10" s="1"/>
  <c r="W143" i="12"/>
  <c r="Y143" i="12" s="1"/>
  <c r="Z143" i="12" s="1"/>
  <c r="W143" i="10"/>
  <c r="Y143" i="10" s="1"/>
  <c r="Z143" i="10" s="1"/>
  <c r="W143" i="3"/>
  <c r="O143" i="12"/>
  <c r="Q143" i="12" s="1"/>
  <c r="R143" i="12" s="1"/>
  <c r="O143" i="10"/>
  <c r="Q143" i="10" s="1"/>
  <c r="R143" i="10" s="1"/>
  <c r="O143" i="3"/>
  <c r="AE143" i="12"/>
  <c r="AG143" i="12" s="1"/>
  <c r="AH143" i="12" s="1"/>
  <c r="AE143" i="10"/>
  <c r="AG143" i="10" s="1"/>
  <c r="AH143" i="10" s="1"/>
  <c r="AE143" i="3"/>
  <c r="T43" i="12"/>
  <c r="U43" i="12" s="1"/>
  <c r="Z43" i="12" s="1"/>
  <c r="L144" i="12" s="1"/>
  <c r="D43" i="12"/>
  <c r="E43" i="12" s="1"/>
  <c r="F43" i="12" s="1"/>
  <c r="N42" i="10"/>
  <c r="AC142" i="3"/>
  <c r="AD142" i="3" s="1"/>
  <c r="BH43" i="10"/>
  <c r="BI43" i="10" s="1"/>
  <c r="BN43" i="10" s="1"/>
  <c r="AF144" i="10" s="1"/>
  <c r="D43" i="10"/>
  <c r="E43" i="10" s="1"/>
  <c r="F43" i="10" s="1"/>
  <c r="BB42" i="10"/>
  <c r="E142" i="3"/>
  <c r="F142" i="3" s="1"/>
  <c r="BC44" i="12"/>
  <c r="BD44" i="12" s="1"/>
  <c r="BE44" i="12" s="1"/>
  <c r="BC44" i="10"/>
  <c r="BD44" i="10" s="1"/>
  <c r="BE44" i="10" s="1"/>
  <c r="A45" i="12"/>
  <c r="A45" i="10"/>
  <c r="O44" i="12"/>
  <c r="P44" i="12" s="1"/>
  <c r="Q44" i="12" s="1"/>
  <c r="O44" i="10"/>
  <c r="P44" i="10" s="1"/>
  <c r="Q44" i="10" s="1"/>
  <c r="W44" i="12"/>
  <c r="X44" i="12" s="1"/>
  <c r="Y44" i="12" s="1"/>
  <c r="W44" i="10"/>
  <c r="X44" i="10" s="1"/>
  <c r="Y44" i="10" s="1"/>
  <c r="K143" i="12"/>
  <c r="M143" i="12" s="1"/>
  <c r="N143" i="12" s="1"/>
  <c r="K143" i="10"/>
  <c r="M143" i="10" s="1"/>
  <c r="N143" i="10" s="1"/>
  <c r="K143" i="3"/>
  <c r="AA143" i="12"/>
  <c r="AC143" i="12" s="1"/>
  <c r="AD143" i="12" s="1"/>
  <c r="AA143" i="10"/>
  <c r="AC143" i="10" s="1"/>
  <c r="AD143" i="10" s="1"/>
  <c r="AA143" i="3"/>
  <c r="AB43" i="12"/>
  <c r="AC43" i="12" s="1"/>
  <c r="AD43" i="12" s="1"/>
  <c r="L43" i="12"/>
  <c r="M43" i="12" s="1"/>
  <c r="N43" i="12" s="1"/>
  <c r="I142" i="3"/>
  <c r="J142" i="3" s="1"/>
  <c r="AR43" i="10"/>
  <c r="AS43" i="10" s="1"/>
  <c r="AT43" i="10" s="1"/>
  <c r="T43" i="10"/>
  <c r="U43" i="10" s="1"/>
  <c r="Z43" i="10" s="1"/>
  <c r="L144" i="10" s="1"/>
  <c r="Y142" i="3"/>
  <c r="Z142" i="3" s="1"/>
  <c r="U142" i="3"/>
  <c r="V142" i="3" s="1"/>
  <c r="S44" i="10"/>
  <c r="AA44" i="10"/>
  <c r="AI44" i="10"/>
  <c r="AQ44" i="10"/>
  <c r="C44" i="10"/>
  <c r="AY44" i="10"/>
  <c r="BG44" i="10"/>
  <c r="K44" i="10"/>
  <c r="M142" i="3"/>
  <c r="N142" i="3" s="1"/>
  <c r="AM44" i="12"/>
  <c r="AN44" i="12" s="1"/>
  <c r="AO44" i="12" s="1"/>
  <c r="AM44" i="10"/>
  <c r="AN44" i="10" s="1"/>
  <c r="AO44" i="10" s="1"/>
  <c r="AU44" i="12"/>
  <c r="AV44" i="12" s="1"/>
  <c r="AW44" i="12" s="1"/>
  <c r="AU44" i="10"/>
  <c r="AV44" i="10" s="1"/>
  <c r="AW44" i="10" s="1"/>
  <c r="S143" i="12"/>
  <c r="U143" i="12" s="1"/>
  <c r="V143" i="12" s="1"/>
  <c r="S143" i="10"/>
  <c r="U143" i="10" s="1"/>
  <c r="V143" i="10" s="1"/>
  <c r="S143" i="3"/>
  <c r="C143" i="12"/>
  <c r="E143" i="12" s="1"/>
  <c r="F143" i="12" s="1"/>
  <c r="C143" i="10"/>
  <c r="C143" i="3"/>
  <c r="AZ43" i="12"/>
  <c r="BA43" i="12" s="1"/>
  <c r="BB43" i="12" s="1"/>
  <c r="AR43" i="12"/>
  <c r="AS43" i="12" s="1"/>
  <c r="AT43" i="12" s="1"/>
  <c r="AJ43" i="10"/>
  <c r="AK43" i="10" s="1"/>
  <c r="AP43" i="10" s="1"/>
  <c r="T144" i="10" s="1"/>
  <c r="AZ43" i="10"/>
  <c r="BA43" i="10" s="1"/>
  <c r="BB43" i="10" s="1"/>
  <c r="E143" i="10"/>
  <c r="F143" i="10" s="1"/>
  <c r="AG142" i="3"/>
  <c r="AH142" i="3" s="1"/>
  <c r="AI44" i="12"/>
  <c r="AY44" i="12"/>
  <c r="S44" i="12"/>
  <c r="BG44" i="12"/>
  <c r="K44" i="12"/>
  <c r="AA44" i="12"/>
  <c r="AQ44" i="12"/>
  <c r="C44" i="12"/>
  <c r="F42" i="3"/>
  <c r="BF42" i="3"/>
  <c r="AB143" i="3" s="1"/>
  <c r="AX42" i="3"/>
  <c r="X143" i="3" s="1"/>
  <c r="Y143" i="3" s="1"/>
  <c r="Z143" i="3" s="1"/>
  <c r="Z42" i="3"/>
  <c r="L143" i="3" s="1"/>
  <c r="M143" i="3" s="1"/>
  <c r="N143" i="3" s="1"/>
  <c r="AD42" i="3"/>
  <c r="AP42" i="3"/>
  <c r="T143" i="3" s="1"/>
  <c r="BJ42" i="3"/>
  <c r="R42" i="3"/>
  <c r="H143" i="3" s="1"/>
  <c r="AH42" i="3"/>
  <c r="P143" i="3" s="1"/>
  <c r="Q143" i="3" s="1"/>
  <c r="R143" i="3" s="1"/>
  <c r="AL42" i="3"/>
  <c r="BB42" i="3"/>
  <c r="U56" i="2"/>
  <c r="V56" i="2" s="1"/>
  <c r="AM56" i="2"/>
  <c r="AN56" i="2" s="1"/>
  <c r="BN42" i="3"/>
  <c r="AF143" i="3" s="1"/>
  <c r="AG143" i="3" s="1"/>
  <c r="AH143" i="3" s="1"/>
  <c r="N42" i="3"/>
  <c r="AE44" i="3"/>
  <c r="AF44" i="3" s="1"/>
  <c r="AG44" i="3" s="1"/>
  <c r="AC57" i="2"/>
  <c r="AE57" i="2"/>
  <c r="BH43" i="3"/>
  <c r="BI43" i="3" s="1"/>
  <c r="G44" i="3"/>
  <c r="H44" i="3" s="1"/>
  <c r="I44" i="3" s="1"/>
  <c r="K57" i="2"/>
  <c r="M57" i="2"/>
  <c r="N57" i="2" s="1"/>
  <c r="BC44" i="3"/>
  <c r="BD44" i="3" s="1"/>
  <c r="BE44" i="3" s="1"/>
  <c r="AU57" i="2"/>
  <c r="AW57" i="2"/>
  <c r="A59" i="2"/>
  <c r="A45" i="3"/>
  <c r="G58" i="2"/>
  <c r="H58" i="2"/>
  <c r="E58" i="2"/>
  <c r="I58" i="2"/>
  <c r="D58" i="2"/>
  <c r="F58" i="2"/>
  <c r="C58" i="2"/>
  <c r="B58" i="2"/>
  <c r="L43" i="3"/>
  <c r="M43" i="3" s="1"/>
  <c r="AR43" i="3"/>
  <c r="AS43" i="3" s="1"/>
  <c r="AT42" i="3"/>
  <c r="BE56" i="2"/>
  <c r="BF56" i="2" s="1"/>
  <c r="J42" i="3"/>
  <c r="D143" i="3" s="1"/>
  <c r="AZ43" i="3"/>
  <c r="BA43" i="3" s="1"/>
  <c r="AJ43" i="3"/>
  <c r="AK43" i="3" s="1"/>
  <c r="O44" i="3"/>
  <c r="P44" i="3" s="1"/>
  <c r="Q44" i="3" s="1"/>
  <c r="Q57" i="2"/>
  <c r="S57" i="2"/>
  <c r="O56" i="2"/>
  <c r="P56" i="2" s="1"/>
  <c r="L56" i="2"/>
  <c r="AM44" i="3"/>
  <c r="AN44" i="3" s="1"/>
  <c r="AO44" i="3" s="1"/>
  <c r="AI57" i="2"/>
  <c r="AK57" i="2"/>
  <c r="AO57" i="2"/>
  <c r="AU44" i="3"/>
  <c r="AV44" i="3" s="1"/>
  <c r="AW44" i="3" s="1"/>
  <c r="AQ57" i="2"/>
  <c r="AY56" i="2"/>
  <c r="AZ56" i="2" s="1"/>
  <c r="D43" i="3"/>
  <c r="E43" i="3" s="1"/>
  <c r="E38" i="22" s="1"/>
  <c r="T43" i="3"/>
  <c r="U43" i="3" s="1"/>
  <c r="AG56" i="2"/>
  <c r="AH56" i="2" s="1"/>
  <c r="AA56" i="2"/>
  <c r="AB56" i="2" s="1"/>
  <c r="AS56" i="2"/>
  <c r="AT56" i="2" s="1"/>
  <c r="W44" i="3"/>
  <c r="X44" i="3" s="1"/>
  <c r="Y44" i="3" s="1"/>
  <c r="W57" i="2"/>
  <c r="Y57" i="2"/>
  <c r="BK44" i="3"/>
  <c r="BL44" i="3" s="1"/>
  <c r="BM44" i="3" s="1"/>
  <c r="BA57" i="2"/>
  <c r="BC57" i="2"/>
  <c r="C44" i="3"/>
  <c r="K44" i="3"/>
  <c r="BG44" i="3"/>
  <c r="AY44" i="3"/>
  <c r="AA44" i="3"/>
  <c r="AQ44" i="3"/>
  <c r="S44" i="3"/>
  <c r="AI44" i="3"/>
  <c r="AB43" i="3"/>
  <c r="AC43" i="3" s="1"/>
  <c r="BJ43" i="12" l="1"/>
  <c r="U143" i="3"/>
  <c r="V143" i="3" s="1"/>
  <c r="AD43" i="10"/>
  <c r="A52" i="19"/>
  <c r="K51" i="19"/>
  <c r="I51" i="19"/>
  <c r="J51" i="19"/>
  <c r="L51" i="19"/>
  <c r="H51" i="19"/>
  <c r="C51" i="19"/>
  <c r="D51" i="19"/>
  <c r="E51" i="19"/>
  <c r="B51" i="19"/>
  <c r="F51" i="19"/>
  <c r="AX43" i="12"/>
  <c r="X144" i="12" s="1"/>
  <c r="J43" i="10"/>
  <c r="D144" i="10" s="1"/>
  <c r="V43" i="12"/>
  <c r="AL43" i="10"/>
  <c r="V43" i="10"/>
  <c r="BF43" i="12"/>
  <c r="AB144" i="12" s="1"/>
  <c r="AH43" i="12"/>
  <c r="P144" i="12" s="1"/>
  <c r="N43" i="10"/>
  <c r="O144" i="12"/>
  <c r="O144" i="10"/>
  <c r="Q144" i="10" s="1"/>
  <c r="R144" i="10" s="1"/>
  <c r="O144" i="3"/>
  <c r="AM45" i="12"/>
  <c r="AN45" i="12" s="1"/>
  <c r="AO45" i="12" s="1"/>
  <c r="AM45" i="10"/>
  <c r="AN45" i="10" s="1"/>
  <c r="AO45" i="10" s="1"/>
  <c r="BC45" i="12"/>
  <c r="BD45" i="12" s="1"/>
  <c r="BE45" i="12" s="1"/>
  <c r="BC45" i="10"/>
  <c r="BD45" i="10" s="1"/>
  <c r="BE45" i="10" s="1"/>
  <c r="S144" i="12"/>
  <c r="S144" i="10"/>
  <c r="U144" i="10" s="1"/>
  <c r="V144" i="10" s="1"/>
  <c r="S144" i="3"/>
  <c r="L44" i="12"/>
  <c r="M44" i="12" s="1"/>
  <c r="R44" i="12" s="1"/>
  <c r="H145" i="12" s="1"/>
  <c r="AJ44" i="12"/>
  <c r="AK44" i="12" s="1"/>
  <c r="AL44" i="12" s="1"/>
  <c r="BF43" i="10"/>
  <c r="AB144" i="10" s="1"/>
  <c r="AZ44" i="10"/>
  <c r="BA44" i="10" s="1"/>
  <c r="BB44" i="10" s="1"/>
  <c r="AB44" i="10"/>
  <c r="AC44" i="10" s="1"/>
  <c r="AH44" i="10" s="1"/>
  <c r="P145" i="10" s="1"/>
  <c r="AX43" i="10"/>
  <c r="X144" i="10" s="1"/>
  <c r="R43" i="12"/>
  <c r="H144" i="12" s="1"/>
  <c r="AC143" i="3"/>
  <c r="AD143" i="3" s="1"/>
  <c r="J43" i="12"/>
  <c r="D144" i="12" s="1"/>
  <c r="AP43" i="12"/>
  <c r="T144" i="12" s="1"/>
  <c r="I143" i="3"/>
  <c r="J143" i="3" s="1"/>
  <c r="W45" i="12"/>
  <c r="X45" i="12" s="1"/>
  <c r="Y45" i="12" s="1"/>
  <c r="W45" i="10"/>
  <c r="X45" i="10" s="1"/>
  <c r="Y45" i="10" s="1"/>
  <c r="AU45" i="12"/>
  <c r="AV45" i="12" s="1"/>
  <c r="AW45" i="12" s="1"/>
  <c r="AU45" i="10"/>
  <c r="AV45" i="10" s="1"/>
  <c r="AW45" i="10" s="1"/>
  <c r="G144" i="12"/>
  <c r="G144" i="10"/>
  <c r="I144" i="10" s="1"/>
  <c r="J144" i="10" s="1"/>
  <c r="G144" i="3"/>
  <c r="D44" i="12"/>
  <c r="E44" i="12" s="1"/>
  <c r="J44" i="12" s="1"/>
  <c r="D145" i="12" s="1"/>
  <c r="BH44" i="12"/>
  <c r="BI44" i="12" s="1"/>
  <c r="BN44" i="12" s="1"/>
  <c r="AF145" i="12" s="1"/>
  <c r="D44" i="10"/>
  <c r="E44" i="10" s="1"/>
  <c r="F44" i="10" s="1"/>
  <c r="T44" i="10"/>
  <c r="U44" i="10" s="1"/>
  <c r="Z44" i="10" s="1"/>
  <c r="L145" i="10" s="1"/>
  <c r="W144" i="12"/>
  <c r="Y144" i="12" s="1"/>
  <c r="Z144" i="12" s="1"/>
  <c r="W144" i="10"/>
  <c r="Y144" i="10" s="1"/>
  <c r="Z144" i="10" s="1"/>
  <c r="W144" i="3"/>
  <c r="AE144" i="12"/>
  <c r="AG144" i="12" s="1"/>
  <c r="AH144" i="12" s="1"/>
  <c r="AE144" i="10"/>
  <c r="AG144" i="10" s="1"/>
  <c r="AH144" i="10" s="1"/>
  <c r="AE144" i="3"/>
  <c r="G45" i="12"/>
  <c r="H45" i="12" s="1"/>
  <c r="I45" i="12" s="1"/>
  <c r="G45" i="10"/>
  <c r="H45" i="10" s="1"/>
  <c r="I45" i="10" s="1"/>
  <c r="BK45" i="12"/>
  <c r="BL45" i="12" s="1"/>
  <c r="BM45" i="12" s="1"/>
  <c r="BK45" i="10"/>
  <c r="BL45" i="10" s="1"/>
  <c r="BM45" i="10" s="1"/>
  <c r="AR44" i="12"/>
  <c r="AS44" i="12" s="1"/>
  <c r="AX44" i="12" s="1"/>
  <c r="X145" i="12" s="1"/>
  <c r="T44" i="12"/>
  <c r="U44" i="12" s="1"/>
  <c r="Z44" i="12" s="1"/>
  <c r="L145" i="12" s="1"/>
  <c r="L44" i="10"/>
  <c r="M44" i="10" s="1"/>
  <c r="R44" i="10" s="1"/>
  <c r="H145" i="10" s="1"/>
  <c r="AR44" i="10"/>
  <c r="AS44" i="10" s="1"/>
  <c r="AT44" i="10" s="1"/>
  <c r="AY45" i="10"/>
  <c r="BG45" i="10"/>
  <c r="AQ45" i="10"/>
  <c r="C45" i="10"/>
  <c r="S45" i="10"/>
  <c r="AI45" i="10"/>
  <c r="K45" i="10"/>
  <c r="AA45" i="10"/>
  <c r="K144" i="12"/>
  <c r="M144" i="12" s="1"/>
  <c r="N144" i="12" s="1"/>
  <c r="K144" i="10"/>
  <c r="M144" i="10" s="1"/>
  <c r="N144" i="10" s="1"/>
  <c r="K144" i="3"/>
  <c r="AA144" i="12"/>
  <c r="AC144" i="12" s="1"/>
  <c r="AD144" i="12" s="1"/>
  <c r="AA144" i="10"/>
  <c r="AC144" i="10" s="1"/>
  <c r="AD144" i="10" s="1"/>
  <c r="AA144" i="3"/>
  <c r="C144" i="12"/>
  <c r="E144" i="12" s="1"/>
  <c r="F144" i="12" s="1"/>
  <c r="C144" i="10"/>
  <c r="E144" i="10" s="1"/>
  <c r="F144" i="10" s="1"/>
  <c r="C144" i="3"/>
  <c r="O45" i="12"/>
  <c r="P45" i="12" s="1"/>
  <c r="Q45" i="12" s="1"/>
  <c r="O45" i="10"/>
  <c r="P45" i="10" s="1"/>
  <c r="Q45" i="10" s="1"/>
  <c r="AE45" i="12"/>
  <c r="AF45" i="12" s="1"/>
  <c r="AG45" i="12" s="1"/>
  <c r="AE45" i="10"/>
  <c r="AF45" i="10" s="1"/>
  <c r="AG45" i="10" s="1"/>
  <c r="A46" i="12"/>
  <c r="A46" i="10"/>
  <c r="AB44" i="12"/>
  <c r="AC44" i="12" s="1"/>
  <c r="AD44" i="12" s="1"/>
  <c r="AZ44" i="12"/>
  <c r="BA44" i="12" s="1"/>
  <c r="BB44" i="12" s="1"/>
  <c r="E143" i="3"/>
  <c r="F143" i="3" s="1"/>
  <c r="BH44" i="10"/>
  <c r="BI44" i="10" s="1"/>
  <c r="BJ44" i="10" s="1"/>
  <c r="AJ44" i="10"/>
  <c r="AK44" i="10" s="1"/>
  <c r="AP44" i="10" s="1"/>
  <c r="T145" i="10" s="1"/>
  <c r="AA45" i="12"/>
  <c r="AQ45" i="12"/>
  <c r="AI45" i="12"/>
  <c r="K45" i="12"/>
  <c r="C45" i="12"/>
  <c r="AY45" i="12"/>
  <c r="S45" i="12"/>
  <c r="BG45" i="12"/>
  <c r="BJ43" i="10"/>
  <c r="N43" i="3"/>
  <c r="J43" i="3"/>
  <c r="D144" i="3" s="1"/>
  <c r="BN43" i="3"/>
  <c r="AF144" i="3" s="1"/>
  <c r="V43" i="3"/>
  <c r="AP43" i="3"/>
  <c r="T144" i="3" s="1"/>
  <c r="AH43" i="3"/>
  <c r="P144" i="3" s="1"/>
  <c r="BF43" i="3"/>
  <c r="AB144" i="3" s="1"/>
  <c r="AT43" i="3"/>
  <c r="AD43" i="3"/>
  <c r="F43" i="3"/>
  <c r="BE57" i="2"/>
  <c r="BF57" i="2" s="1"/>
  <c r="U57" i="2"/>
  <c r="V57" i="2" s="1"/>
  <c r="AX43" i="3"/>
  <c r="X144" i="3" s="1"/>
  <c r="T44" i="3"/>
  <c r="U44" i="3" s="1"/>
  <c r="BH44" i="3"/>
  <c r="BI44" i="3" s="1"/>
  <c r="AR44" i="3"/>
  <c r="AS44" i="3" s="1"/>
  <c r="L44" i="3"/>
  <c r="M44" i="3" s="1"/>
  <c r="Z43" i="3"/>
  <c r="L144" i="3" s="1"/>
  <c r="AS57" i="2"/>
  <c r="AT57" i="2" s="1"/>
  <c r="BB43" i="3"/>
  <c r="R43" i="3"/>
  <c r="H144" i="3" s="1"/>
  <c r="W45" i="3"/>
  <c r="X45" i="3" s="1"/>
  <c r="Y45" i="3" s="1"/>
  <c r="W58" i="2"/>
  <c r="Y58" i="2"/>
  <c r="AU45" i="3"/>
  <c r="AV45" i="3" s="1"/>
  <c r="AW45" i="3" s="1"/>
  <c r="AO58" i="2"/>
  <c r="AQ58" i="2"/>
  <c r="AY57" i="2"/>
  <c r="AZ57" i="2" s="1"/>
  <c r="AG57" i="2"/>
  <c r="AH57" i="2" s="1"/>
  <c r="D44" i="3"/>
  <c r="E44" i="3" s="1"/>
  <c r="E39" i="22" s="1"/>
  <c r="G45" i="3"/>
  <c r="H45" i="3" s="1"/>
  <c r="I45" i="3" s="1"/>
  <c r="K58" i="2"/>
  <c r="M58" i="2"/>
  <c r="N58" i="2" s="1"/>
  <c r="BK45" i="3"/>
  <c r="BL45" i="3" s="1"/>
  <c r="BM45" i="3" s="1"/>
  <c r="BA58" i="2"/>
  <c r="BC58" i="2"/>
  <c r="C45" i="3"/>
  <c r="K45" i="3"/>
  <c r="S45" i="3"/>
  <c r="AA45" i="3"/>
  <c r="AI45" i="3"/>
  <c r="AY45" i="3"/>
  <c r="AQ45" i="3"/>
  <c r="BG45" i="3"/>
  <c r="AB44" i="3"/>
  <c r="AC44" i="3" s="1"/>
  <c r="AJ44" i="3"/>
  <c r="AK44" i="3" s="1"/>
  <c r="AZ44" i="3"/>
  <c r="BA44" i="3" s="1"/>
  <c r="AA57" i="2"/>
  <c r="AB57" i="2" s="1"/>
  <c r="AM57" i="2"/>
  <c r="AN57" i="2" s="1"/>
  <c r="AL43" i="3"/>
  <c r="BG56" i="2"/>
  <c r="O45" i="3"/>
  <c r="P45" i="3" s="1"/>
  <c r="Q45" i="3" s="1"/>
  <c r="Q58" i="2"/>
  <c r="S58" i="2"/>
  <c r="AE45" i="3"/>
  <c r="AF45" i="3" s="1"/>
  <c r="AG45" i="3" s="1"/>
  <c r="AC58" i="2"/>
  <c r="AE58" i="2"/>
  <c r="A60" i="2"/>
  <c r="A46" i="3"/>
  <c r="H59" i="2"/>
  <c r="I59" i="2"/>
  <c r="F59" i="2"/>
  <c r="G59" i="2"/>
  <c r="D59" i="2"/>
  <c r="E59" i="2"/>
  <c r="C59" i="2"/>
  <c r="B59" i="2"/>
  <c r="BJ43" i="3"/>
  <c r="BG57" i="2"/>
  <c r="AM45" i="3"/>
  <c r="AN45" i="3" s="1"/>
  <c r="AO45" i="3" s="1"/>
  <c r="AI58" i="2"/>
  <c r="AK58" i="2"/>
  <c r="BC45" i="3"/>
  <c r="BD45" i="3" s="1"/>
  <c r="BE45" i="3" s="1"/>
  <c r="AU58" i="2"/>
  <c r="AW58" i="2"/>
  <c r="L57" i="2"/>
  <c r="O57" i="2"/>
  <c r="P57" i="2" s="1"/>
  <c r="AD44" i="10" l="1"/>
  <c r="AP44" i="12"/>
  <c r="T145" i="12" s="1"/>
  <c r="Q144" i="12"/>
  <c r="R144" i="12" s="1"/>
  <c r="BJ44" i="12"/>
  <c r="F44" i="12"/>
  <c r="I144" i="12"/>
  <c r="J144" i="12" s="1"/>
  <c r="A53" i="19"/>
  <c r="J52" i="19"/>
  <c r="H52" i="19"/>
  <c r="L52" i="19"/>
  <c r="I52" i="19"/>
  <c r="K52" i="19"/>
  <c r="B52" i="19"/>
  <c r="F52" i="19"/>
  <c r="C52" i="19"/>
  <c r="D52" i="19"/>
  <c r="E52" i="19"/>
  <c r="N44" i="10"/>
  <c r="AT44" i="12"/>
  <c r="V44" i="10"/>
  <c r="AL44" i="10"/>
  <c r="BF44" i="12"/>
  <c r="AB145" i="12" s="1"/>
  <c r="J44" i="10"/>
  <c r="D145" i="10" s="1"/>
  <c r="C145" i="12"/>
  <c r="E145" i="12" s="1"/>
  <c r="F145" i="12" s="1"/>
  <c r="C145" i="10"/>
  <c r="C145" i="3"/>
  <c r="W46" i="12"/>
  <c r="X46" i="12" s="1"/>
  <c r="Y46" i="12" s="1"/>
  <c r="W46" i="10"/>
  <c r="X46" i="10" s="1"/>
  <c r="Y46" i="10" s="1"/>
  <c r="BC46" i="12"/>
  <c r="BD46" i="12" s="1"/>
  <c r="BE46" i="12" s="1"/>
  <c r="BC46" i="10"/>
  <c r="BD46" i="10" s="1"/>
  <c r="BE46" i="10" s="1"/>
  <c r="K145" i="12"/>
  <c r="M145" i="12" s="1"/>
  <c r="N145" i="12" s="1"/>
  <c r="K145" i="10"/>
  <c r="M145" i="10" s="1"/>
  <c r="N145" i="10" s="1"/>
  <c r="K145" i="3"/>
  <c r="AA145" i="12"/>
  <c r="AC145" i="12" s="1"/>
  <c r="AD145" i="12" s="1"/>
  <c r="AA145" i="10"/>
  <c r="AA145" i="3"/>
  <c r="G145" i="12"/>
  <c r="I145" i="12" s="1"/>
  <c r="J145" i="12" s="1"/>
  <c r="G145" i="10"/>
  <c r="I145" i="10" s="1"/>
  <c r="J145" i="10" s="1"/>
  <c r="G145" i="3"/>
  <c r="D45" i="12"/>
  <c r="E45" i="12" s="1"/>
  <c r="J45" i="12" s="1"/>
  <c r="D146" i="12" s="1"/>
  <c r="AB45" i="12"/>
  <c r="AC45" i="12" s="1"/>
  <c r="AH45" i="12" s="1"/>
  <c r="P146" i="12" s="1"/>
  <c r="BN44" i="10"/>
  <c r="AF145" i="10" s="1"/>
  <c r="C46" i="10"/>
  <c r="AY46" i="10"/>
  <c r="AA46" i="10"/>
  <c r="AQ46" i="10"/>
  <c r="BG46" i="10"/>
  <c r="K46" i="10"/>
  <c r="AI46" i="10"/>
  <c r="S46" i="10"/>
  <c r="M144" i="3"/>
  <c r="N144" i="3" s="1"/>
  <c r="L45" i="10"/>
  <c r="M45" i="10" s="1"/>
  <c r="R45" i="10" s="1"/>
  <c r="H146" i="10" s="1"/>
  <c r="AR45" i="10"/>
  <c r="AS45" i="10" s="1"/>
  <c r="AT45" i="10" s="1"/>
  <c r="AX44" i="10"/>
  <c r="X145" i="10" s="1"/>
  <c r="I144" i="3"/>
  <c r="J144" i="3" s="1"/>
  <c r="BF44" i="10"/>
  <c r="AB145" i="10" s="1"/>
  <c r="N44" i="12"/>
  <c r="U144" i="12"/>
  <c r="V144" i="12" s="1"/>
  <c r="AU46" i="12"/>
  <c r="AV46" i="12" s="1"/>
  <c r="AW46" i="12" s="1"/>
  <c r="AU46" i="10"/>
  <c r="AV46" i="10" s="1"/>
  <c r="AW46" i="10" s="1"/>
  <c r="W145" i="12"/>
  <c r="Y145" i="12" s="1"/>
  <c r="Z145" i="12" s="1"/>
  <c r="W145" i="10"/>
  <c r="Y145" i="10" s="1"/>
  <c r="Z145" i="10" s="1"/>
  <c r="W145" i="3"/>
  <c r="AE145" i="12"/>
  <c r="AG145" i="12" s="1"/>
  <c r="AH145" i="12" s="1"/>
  <c r="AE145" i="10"/>
  <c r="AG145" i="10" s="1"/>
  <c r="AH145" i="10" s="1"/>
  <c r="AE145" i="3"/>
  <c r="BH45" i="12"/>
  <c r="BI45" i="12" s="1"/>
  <c r="BJ45" i="12" s="1"/>
  <c r="L45" i="12"/>
  <c r="M45" i="12" s="1"/>
  <c r="R45" i="12" s="1"/>
  <c r="H146" i="12" s="1"/>
  <c r="K46" i="12"/>
  <c r="AA46" i="12"/>
  <c r="AQ46" i="12"/>
  <c r="C46" i="12"/>
  <c r="AI46" i="12"/>
  <c r="AY46" i="12"/>
  <c r="S46" i="12"/>
  <c r="BG46" i="12"/>
  <c r="AC144" i="3"/>
  <c r="AD144" i="3" s="1"/>
  <c r="AJ45" i="10"/>
  <c r="AK45" i="10" s="1"/>
  <c r="AL45" i="10" s="1"/>
  <c r="BH45" i="10"/>
  <c r="BI45" i="10" s="1"/>
  <c r="BJ45" i="10" s="1"/>
  <c r="V44" i="12"/>
  <c r="Q144" i="3"/>
  <c r="R144" i="3" s="1"/>
  <c r="G46" i="12"/>
  <c r="H46" i="12" s="1"/>
  <c r="I46" i="12" s="1"/>
  <c r="G46" i="10"/>
  <c r="H46" i="10" s="1"/>
  <c r="I46" i="10" s="1"/>
  <c r="AY58" i="2"/>
  <c r="AZ58" i="2" s="1"/>
  <c r="O46" i="12"/>
  <c r="P46" i="12" s="1"/>
  <c r="Q46" i="12" s="1"/>
  <c r="O46" i="10"/>
  <c r="P46" i="10" s="1"/>
  <c r="Q46" i="10" s="1"/>
  <c r="AM46" i="12"/>
  <c r="AN46" i="12" s="1"/>
  <c r="AO46" i="12" s="1"/>
  <c r="AM46" i="10"/>
  <c r="AN46" i="10" s="1"/>
  <c r="AO46" i="10" s="1"/>
  <c r="A47" i="12"/>
  <c r="A47" i="10"/>
  <c r="T45" i="12"/>
  <c r="U45" i="12" s="1"/>
  <c r="V45" i="12" s="1"/>
  <c r="Z45" i="12"/>
  <c r="L146" i="12" s="1"/>
  <c r="AJ45" i="12"/>
  <c r="AK45" i="12" s="1"/>
  <c r="AP45" i="12" s="1"/>
  <c r="T146" i="12" s="1"/>
  <c r="AH44" i="12"/>
  <c r="P145" i="12" s="1"/>
  <c r="E144" i="3"/>
  <c r="F144" i="3" s="1"/>
  <c r="T45" i="10"/>
  <c r="U45" i="10" s="1"/>
  <c r="Z45" i="10" s="1"/>
  <c r="L146" i="10" s="1"/>
  <c r="AZ45" i="10"/>
  <c r="BA45" i="10" s="1"/>
  <c r="BF45" i="10" s="1"/>
  <c r="AB146" i="10" s="1"/>
  <c r="Y144" i="3"/>
  <c r="Z144" i="3" s="1"/>
  <c r="U144" i="3"/>
  <c r="V144" i="3" s="1"/>
  <c r="AE46" i="12"/>
  <c r="AF46" i="12" s="1"/>
  <c r="AG46" i="12" s="1"/>
  <c r="AE46" i="10"/>
  <c r="AF46" i="10" s="1"/>
  <c r="AG46" i="10" s="1"/>
  <c r="BK46" i="12"/>
  <c r="BL46" i="12" s="1"/>
  <c r="BM46" i="12" s="1"/>
  <c r="BK46" i="10"/>
  <c r="BL46" i="10" s="1"/>
  <c r="BM46" i="10" s="1"/>
  <c r="S145" i="12"/>
  <c r="U145" i="12" s="1"/>
  <c r="V145" i="12" s="1"/>
  <c r="S145" i="10"/>
  <c r="U145" i="10" s="1"/>
  <c r="V145" i="10" s="1"/>
  <c r="S145" i="3"/>
  <c r="O145" i="12"/>
  <c r="O145" i="10"/>
  <c r="Q145" i="10" s="1"/>
  <c r="R145" i="10" s="1"/>
  <c r="O145" i="3"/>
  <c r="AZ45" i="12"/>
  <c r="BA45" i="12" s="1"/>
  <c r="BF45" i="12" s="1"/>
  <c r="AB146" i="12" s="1"/>
  <c r="AR45" i="12"/>
  <c r="AS45" i="12" s="1"/>
  <c r="AT45" i="12" s="1"/>
  <c r="AB45" i="10"/>
  <c r="AC45" i="10" s="1"/>
  <c r="AH45" i="10" s="1"/>
  <c r="P146" i="10" s="1"/>
  <c r="D45" i="10"/>
  <c r="E45" i="10" s="1"/>
  <c r="F45" i="10" s="1"/>
  <c r="AG144" i="3"/>
  <c r="AH144" i="3" s="1"/>
  <c r="AT44" i="3"/>
  <c r="BB44" i="3"/>
  <c r="BJ44" i="3"/>
  <c r="V44" i="3"/>
  <c r="AL44" i="3"/>
  <c r="F44" i="3"/>
  <c r="AD44" i="3"/>
  <c r="N44" i="3"/>
  <c r="AP44" i="3"/>
  <c r="T145" i="3" s="1"/>
  <c r="AS58" i="2"/>
  <c r="AT58" i="2" s="1"/>
  <c r="Z44" i="3"/>
  <c r="L145" i="3" s="1"/>
  <c r="AX44" i="3"/>
  <c r="X145" i="3" s="1"/>
  <c r="AG58" i="2"/>
  <c r="AH58" i="2" s="1"/>
  <c r="U58" i="2"/>
  <c r="V58" i="2" s="1"/>
  <c r="BF44" i="3"/>
  <c r="AB145" i="3" s="1"/>
  <c r="BE58" i="2"/>
  <c r="BF58" i="2" s="1"/>
  <c r="R44" i="3"/>
  <c r="H145" i="3" s="1"/>
  <c r="BN44" i="3"/>
  <c r="AF145" i="3" s="1"/>
  <c r="G46" i="3"/>
  <c r="H46" i="3" s="1"/>
  <c r="I46" i="3" s="1"/>
  <c r="K59" i="2"/>
  <c r="M59" i="2"/>
  <c r="N59" i="2" s="1"/>
  <c r="C46" i="3"/>
  <c r="S46" i="3"/>
  <c r="AI46" i="3"/>
  <c r="BG46" i="3"/>
  <c r="AA46" i="3"/>
  <c r="AQ46" i="3"/>
  <c r="AY46" i="3"/>
  <c r="K46" i="3"/>
  <c r="BH45" i="3"/>
  <c r="BI45" i="3" s="1"/>
  <c r="O46" i="3"/>
  <c r="P46" i="3" s="1"/>
  <c r="Q46" i="3" s="1"/>
  <c r="Q59" i="2"/>
  <c r="S59" i="2"/>
  <c r="AM46" i="3"/>
  <c r="AN46" i="3" s="1"/>
  <c r="AO46" i="3" s="1"/>
  <c r="AI59" i="2"/>
  <c r="AK59" i="2"/>
  <c r="A61" i="2"/>
  <c r="A47" i="3"/>
  <c r="G60" i="2"/>
  <c r="H60" i="2"/>
  <c r="I60" i="2"/>
  <c r="E60" i="2"/>
  <c r="F60" i="2"/>
  <c r="C60" i="2"/>
  <c r="B60" i="2"/>
  <c r="D60" i="2"/>
  <c r="AR45" i="3"/>
  <c r="AS45" i="3" s="1"/>
  <c r="T45" i="3"/>
  <c r="U45" i="3" s="1"/>
  <c r="AE46" i="3"/>
  <c r="AF46" i="3" s="1"/>
  <c r="AG46" i="3" s="1"/>
  <c r="AC59" i="2"/>
  <c r="AE59" i="2"/>
  <c r="AZ45" i="3"/>
  <c r="BA45" i="3" s="1"/>
  <c r="L45" i="3"/>
  <c r="M45" i="3" s="1"/>
  <c r="BC59" i="2"/>
  <c r="BK46" i="3"/>
  <c r="BL46" i="3" s="1"/>
  <c r="BM46" i="3" s="1"/>
  <c r="BA59" i="2"/>
  <c r="AM58" i="2"/>
  <c r="AN58" i="2" s="1"/>
  <c r="W46" i="3"/>
  <c r="X46" i="3" s="1"/>
  <c r="Y46" i="3" s="1"/>
  <c r="W59" i="2"/>
  <c r="Y59" i="2"/>
  <c r="BC46" i="3"/>
  <c r="BD46" i="3" s="1"/>
  <c r="BE46" i="3" s="1"/>
  <c r="AU59" i="2"/>
  <c r="AW59" i="2"/>
  <c r="AH44" i="3"/>
  <c r="P145" i="3" s="1"/>
  <c r="AJ45" i="3"/>
  <c r="AK45" i="3" s="1"/>
  <c r="D45" i="3"/>
  <c r="E45" i="3" s="1"/>
  <c r="E40" i="22" s="1"/>
  <c r="J44" i="3"/>
  <c r="D145" i="3" s="1"/>
  <c r="AA58" i="2"/>
  <c r="AB58" i="2" s="1"/>
  <c r="AU46" i="3"/>
  <c r="AV46" i="3" s="1"/>
  <c r="AW46" i="3" s="1"/>
  <c r="AO59" i="2"/>
  <c r="AQ59" i="2"/>
  <c r="AB45" i="3"/>
  <c r="AC45" i="3" s="1"/>
  <c r="BG58" i="2"/>
  <c r="L58" i="2"/>
  <c r="O58" i="2"/>
  <c r="P58" i="2" s="1"/>
  <c r="J45" i="10" l="1"/>
  <c r="D146" i="10" s="1"/>
  <c r="E145" i="10"/>
  <c r="F145" i="10" s="1"/>
  <c r="A54" i="19"/>
  <c r="I53" i="19"/>
  <c r="K53" i="19"/>
  <c r="L53" i="19"/>
  <c r="H53" i="19"/>
  <c r="J53" i="19"/>
  <c r="E53" i="19"/>
  <c r="B53" i="19"/>
  <c r="F53" i="19"/>
  <c r="C53" i="19"/>
  <c r="D53" i="19"/>
  <c r="BN45" i="12"/>
  <c r="AF146" i="12" s="1"/>
  <c r="V45" i="10"/>
  <c r="AL45" i="12"/>
  <c r="AX45" i="10"/>
  <c r="X146" i="10" s="1"/>
  <c r="AD45" i="10"/>
  <c r="N45" i="12"/>
  <c r="AD45" i="12"/>
  <c r="BB45" i="10"/>
  <c r="AP45" i="10"/>
  <c r="T146" i="10" s="1"/>
  <c r="C146" i="12"/>
  <c r="E146" i="12" s="1"/>
  <c r="F146" i="12" s="1"/>
  <c r="C146" i="10"/>
  <c r="E146" i="10" s="1"/>
  <c r="F146" i="10" s="1"/>
  <c r="C146" i="3"/>
  <c r="W47" i="12"/>
  <c r="X47" i="12" s="1"/>
  <c r="Y47" i="12" s="1"/>
  <c r="W47" i="10"/>
  <c r="X47" i="10" s="1"/>
  <c r="Y47" i="10" s="1"/>
  <c r="AE47" i="12"/>
  <c r="AF47" i="12" s="1"/>
  <c r="AG47" i="12" s="1"/>
  <c r="AE47" i="10"/>
  <c r="AF47" i="10" s="1"/>
  <c r="AG47" i="10" s="1"/>
  <c r="G146" i="12"/>
  <c r="I146" i="12" s="1"/>
  <c r="J146" i="12" s="1"/>
  <c r="G146" i="10"/>
  <c r="I146" i="10" s="1"/>
  <c r="J146" i="10" s="1"/>
  <c r="G146" i="3"/>
  <c r="W146" i="12"/>
  <c r="W146" i="10"/>
  <c r="Y146" i="10" s="1"/>
  <c r="Z146" i="10" s="1"/>
  <c r="W146" i="3"/>
  <c r="BB45" i="12"/>
  <c r="BN45" i="10"/>
  <c r="AF146" i="10" s="1"/>
  <c r="T46" i="12"/>
  <c r="U46" i="12" s="1"/>
  <c r="V46" i="12" s="1"/>
  <c r="AR46" i="12"/>
  <c r="AS46" i="12" s="1"/>
  <c r="AT46" i="12" s="1"/>
  <c r="Y145" i="3"/>
  <c r="Z145" i="3" s="1"/>
  <c r="BH46" i="10"/>
  <c r="BI46" i="10" s="1"/>
  <c r="BN46" i="10" s="1"/>
  <c r="AF147" i="10" s="1"/>
  <c r="D46" i="10"/>
  <c r="E46" i="10" s="1"/>
  <c r="F46" i="10" s="1"/>
  <c r="I145" i="3"/>
  <c r="J145" i="3" s="1"/>
  <c r="AC145" i="10"/>
  <c r="AD145" i="10" s="1"/>
  <c r="S146" i="12"/>
  <c r="U146" i="12" s="1"/>
  <c r="V146" i="12" s="1"/>
  <c r="S146" i="10"/>
  <c r="U146" i="10" s="1"/>
  <c r="V146" i="10" s="1"/>
  <c r="S146" i="3"/>
  <c r="G47" i="12"/>
  <c r="H47" i="12" s="1"/>
  <c r="I47" i="12" s="1"/>
  <c r="G47" i="10"/>
  <c r="H47" i="10" s="1"/>
  <c r="I47" i="10" s="1"/>
  <c r="BK47" i="12"/>
  <c r="BL47" i="12" s="1"/>
  <c r="BM47" i="12" s="1"/>
  <c r="BK47" i="10"/>
  <c r="BL47" i="10" s="1"/>
  <c r="BM47" i="10" s="1"/>
  <c r="A48" i="12"/>
  <c r="A48" i="10"/>
  <c r="U59" i="2"/>
  <c r="V59" i="2" s="1"/>
  <c r="O146" i="12"/>
  <c r="Q146" i="12" s="1"/>
  <c r="R146" i="12" s="1"/>
  <c r="O146" i="10"/>
  <c r="Q146" i="10" s="1"/>
  <c r="R146" i="10" s="1"/>
  <c r="O146" i="3"/>
  <c r="AX45" i="12"/>
  <c r="X146" i="12" s="1"/>
  <c r="C47" i="10"/>
  <c r="BG47" i="10"/>
  <c r="AQ47" i="10"/>
  <c r="AY47" i="10"/>
  <c r="K47" i="10"/>
  <c r="AI47" i="10"/>
  <c r="S47" i="10"/>
  <c r="AA47" i="10"/>
  <c r="AZ46" i="12"/>
  <c r="BA46" i="12" s="1"/>
  <c r="BF46" i="12" s="1"/>
  <c r="AB147" i="12" s="1"/>
  <c r="AB46" i="12"/>
  <c r="AC46" i="12" s="1"/>
  <c r="AD46" i="12" s="1"/>
  <c r="AG145" i="3"/>
  <c r="AH145" i="3" s="1"/>
  <c r="N45" i="10"/>
  <c r="T46" i="10"/>
  <c r="U46" i="10" s="1"/>
  <c r="V46" i="10" s="1"/>
  <c r="AR46" i="10"/>
  <c r="AS46" i="10" s="1"/>
  <c r="AT46" i="10" s="1"/>
  <c r="F45" i="12"/>
  <c r="E145" i="3"/>
  <c r="F145" i="3" s="1"/>
  <c r="K146" i="12"/>
  <c r="M146" i="12" s="1"/>
  <c r="N146" i="12" s="1"/>
  <c r="K146" i="10"/>
  <c r="M146" i="10" s="1"/>
  <c r="N146" i="10" s="1"/>
  <c r="K146" i="3"/>
  <c r="O47" i="12"/>
  <c r="P47" i="12" s="1"/>
  <c r="Q47" i="12" s="1"/>
  <c r="O47" i="10"/>
  <c r="P47" i="10" s="1"/>
  <c r="Q47" i="10" s="1"/>
  <c r="BC47" i="12"/>
  <c r="BD47" i="12" s="1"/>
  <c r="BE47" i="12" s="1"/>
  <c r="BC47" i="10"/>
  <c r="BD47" i="10" s="1"/>
  <c r="BE47" i="10" s="1"/>
  <c r="AE146" i="12"/>
  <c r="AG146" i="12" s="1"/>
  <c r="AH146" i="12" s="1"/>
  <c r="AE146" i="10"/>
  <c r="AG146" i="10" s="1"/>
  <c r="AH146" i="10" s="1"/>
  <c r="AE146" i="3"/>
  <c r="U145" i="3"/>
  <c r="V145" i="3" s="1"/>
  <c r="Q145" i="12"/>
  <c r="R145" i="12" s="1"/>
  <c r="K47" i="12"/>
  <c r="C47" i="12"/>
  <c r="AY47" i="12"/>
  <c r="AQ47" i="12"/>
  <c r="BG47" i="12"/>
  <c r="AI47" i="12"/>
  <c r="AA47" i="12"/>
  <c r="S47" i="12"/>
  <c r="AJ46" i="12"/>
  <c r="AK46" i="12" s="1"/>
  <c r="AL46" i="12" s="1"/>
  <c r="L46" i="12"/>
  <c r="M46" i="12" s="1"/>
  <c r="R46" i="12" s="1"/>
  <c r="H147" i="12" s="1"/>
  <c r="AJ46" i="10"/>
  <c r="AK46" i="10" s="1"/>
  <c r="AP46" i="10" s="1"/>
  <c r="T147" i="10" s="1"/>
  <c r="AB46" i="10"/>
  <c r="AC46" i="10" s="1"/>
  <c r="AH46" i="10" s="1"/>
  <c r="P147" i="10" s="1"/>
  <c r="M145" i="3"/>
  <c r="N145" i="3" s="1"/>
  <c r="AM47" i="12"/>
  <c r="AN47" i="12" s="1"/>
  <c r="AO47" i="12" s="1"/>
  <c r="AM47" i="10"/>
  <c r="AN47" i="10" s="1"/>
  <c r="AO47" i="10" s="1"/>
  <c r="AU47" i="12"/>
  <c r="AV47" i="12" s="1"/>
  <c r="AW47" i="12" s="1"/>
  <c r="AU47" i="10"/>
  <c r="AV47" i="10" s="1"/>
  <c r="AW47" i="10" s="1"/>
  <c r="Q145" i="3"/>
  <c r="R145" i="3" s="1"/>
  <c r="AA146" i="12"/>
  <c r="AC146" i="12" s="1"/>
  <c r="AD146" i="12" s="1"/>
  <c r="AA146" i="10"/>
  <c r="AC146" i="10" s="1"/>
  <c r="AD146" i="10" s="1"/>
  <c r="AA146" i="3"/>
  <c r="BH46" i="12"/>
  <c r="BI46" i="12" s="1"/>
  <c r="BJ46" i="12" s="1"/>
  <c r="D46" i="12"/>
  <c r="E46" i="12" s="1"/>
  <c r="J46" i="12" s="1"/>
  <c r="D147" i="12" s="1"/>
  <c r="L46" i="10"/>
  <c r="M46" i="10" s="1"/>
  <c r="R46" i="10" s="1"/>
  <c r="H147" i="10" s="1"/>
  <c r="AZ46" i="10"/>
  <c r="BA46" i="10" s="1"/>
  <c r="BB46" i="10" s="1"/>
  <c r="AC145" i="3"/>
  <c r="AD145" i="3" s="1"/>
  <c r="BB45" i="3"/>
  <c r="AX45" i="3"/>
  <c r="X146" i="3" s="1"/>
  <c r="AH45" i="3"/>
  <c r="P146" i="3" s="1"/>
  <c r="V45" i="3"/>
  <c r="F45" i="3"/>
  <c r="BJ45" i="3"/>
  <c r="AL45" i="3"/>
  <c r="R45" i="3"/>
  <c r="H146" i="3" s="1"/>
  <c r="BN45" i="3"/>
  <c r="AF146" i="3" s="1"/>
  <c r="AD45" i="3"/>
  <c r="AA59" i="2"/>
  <c r="AB59" i="2" s="1"/>
  <c r="AS59" i="2"/>
  <c r="AT59" i="2" s="1"/>
  <c r="N45" i="3"/>
  <c r="J45" i="3"/>
  <c r="D146" i="3" s="1"/>
  <c r="Z45" i="3"/>
  <c r="L146" i="3" s="1"/>
  <c r="BC60" i="2"/>
  <c r="BK47" i="3"/>
  <c r="BL47" i="3" s="1"/>
  <c r="BM47" i="3" s="1"/>
  <c r="BA60" i="2"/>
  <c r="AB46" i="3"/>
  <c r="AC46" i="3" s="1"/>
  <c r="AY59" i="2"/>
  <c r="AZ59" i="2" s="1"/>
  <c r="AG59" i="2"/>
  <c r="AH59" i="2" s="1"/>
  <c r="O47" i="3"/>
  <c r="P47" i="3" s="1"/>
  <c r="Q47" i="3" s="1"/>
  <c r="Q60" i="2"/>
  <c r="S60" i="2"/>
  <c r="BC47" i="3"/>
  <c r="BD47" i="3" s="1"/>
  <c r="BE47" i="3" s="1"/>
  <c r="AU60" i="2"/>
  <c r="AW60" i="2"/>
  <c r="L46" i="3"/>
  <c r="M46" i="3" s="1"/>
  <c r="BH46" i="3"/>
  <c r="BI46" i="3" s="1"/>
  <c r="G47" i="3"/>
  <c r="H47" i="3" s="1"/>
  <c r="I47" i="3" s="1"/>
  <c r="K60" i="2"/>
  <c r="M60" i="2"/>
  <c r="N60" i="2" s="1"/>
  <c r="A62" i="2"/>
  <c r="A48" i="3"/>
  <c r="H61" i="2"/>
  <c r="I61" i="2"/>
  <c r="D61" i="2"/>
  <c r="G61" i="2"/>
  <c r="F61" i="2"/>
  <c r="E61" i="2"/>
  <c r="B61" i="2"/>
  <c r="C61" i="2"/>
  <c r="AP45" i="3"/>
  <c r="T146" i="3" s="1"/>
  <c r="BF45" i="3"/>
  <c r="AB146" i="3" s="1"/>
  <c r="AT45" i="3"/>
  <c r="AM47" i="3"/>
  <c r="AN47" i="3" s="1"/>
  <c r="AO47" i="3" s="1"/>
  <c r="AI60" i="2"/>
  <c r="AK60" i="2"/>
  <c r="AU47" i="3"/>
  <c r="AV47" i="3" s="1"/>
  <c r="AW47" i="3" s="1"/>
  <c r="AO60" i="2"/>
  <c r="AQ60" i="2"/>
  <c r="AM59" i="2"/>
  <c r="AN59" i="2" s="1"/>
  <c r="AZ46" i="3"/>
  <c r="BA46" i="3" s="1"/>
  <c r="AJ46" i="3"/>
  <c r="AK46" i="3" s="1"/>
  <c r="L59" i="2"/>
  <c r="O59" i="2"/>
  <c r="P59" i="2" s="1"/>
  <c r="D46" i="3"/>
  <c r="E46" i="3" s="1"/>
  <c r="E41" i="22" s="1"/>
  <c r="BE59" i="2"/>
  <c r="BF59" i="2" s="1"/>
  <c r="W47" i="3"/>
  <c r="X47" i="3" s="1"/>
  <c r="Y47" i="3" s="1"/>
  <c r="W60" i="2"/>
  <c r="Y60" i="2"/>
  <c r="AE47" i="3"/>
  <c r="AF47" i="3" s="1"/>
  <c r="AG47" i="3" s="1"/>
  <c r="AC60" i="2"/>
  <c r="AE60" i="2"/>
  <c r="BG47" i="3"/>
  <c r="S47" i="3"/>
  <c r="AI47" i="3"/>
  <c r="K47" i="3"/>
  <c r="AA47" i="3"/>
  <c r="C47" i="3"/>
  <c r="AQ47" i="3"/>
  <c r="AY47" i="3"/>
  <c r="AR46" i="3"/>
  <c r="AS46" i="3" s="1"/>
  <c r="T46" i="3"/>
  <c r="U46" i="3" s="1"/>
  <c r="Z46" i="10" l="1"/>
  <c r="L147" i="10" s="1"/>
  <c r="AH46" i="12"/>
  <c r="P147" i="12" s="1"/>
  <c r="AX46" i="10"/>
  <c r="X147" i="10" s="1"/>
  <c r="A55" i="19"/>
  <c r="H54" i="19"/>
  <c r="L54" i="19"/>
  <c r="J54" i="19"/>
  <c r="I54" i="19"/>
  <c r="K54" i="19"/>
  <c r="D54" i="19"/>
  <c r="E54" i="19"/>
  <c r="B54" i="19"/>
  <c r="F54" i="19"/>
  <c r="C54" i="19"/>
  <c r="BN46" i="12"/>
  <c r="AF147" i="12" s="1"/>
  <c r="AD46" i="10"/>
  <c r="AP46" i="12"/>
  <c r="T147" i="12" s="1"/>
  <c r="AX46" i="12"/>
  <c r="X147" i="12" s="1"/>
  <c r="F46" i="12"/>
  <c r="BF46" i="10"/>
  <c r="AB147" i="10" s="1"/>
  <c r="N46" i="12"/>
  <c r="BB46" i="12"/>
  <c r="Z46" i="12"/>
  <c r="L147" i="12" s="1"/>
  <c r="C147" i="12"/>
  <c r="E147" i="12" s="1"/>
  <c r="F147" i="12" s="1"/>
  <c r="C147" i="10"/>
  <c r="C147" i="3"/>
  <c r="S147" i="12"/>
  <c r="U147" i="12" s="1"/>
  <c r="V147" i="12" s="1"/>
  <c r="S147" i="10"/>
  <c r="U147" i="10" s="1"/>
  <c r="V147" i="10" s="1"/>
  <c r="S147" i="3"/>
  <c r="AE48" i="12"/>
  <c r="AF48" i="12" s="1"/>
  <c r="AG48" i="12" s="1"/>
  <c r="AE48" i="10"/>
  <c r="AF48" i="10" s="1"/>
  <c r="AG48" i="10" s="1"/>
  <c r="BK48" i="12"/>
  <c r="BL48" i="12" s="1"/>
  <c r="BM48" i="12" s="1"/>
  <c r="BK48" i="10"/>
  <c r="BL48" i="10" s="1"/>
  <c r="BM48" i="10" s="1"/>
  <c r="AA147" i="12"/>
  <c r="AC147" i="12" s="1"/>
  <c r="AD147" i="12" s="1"/>
  <c r="AA147" i="10"/>
  <c r="AA147" i="3"/>
  <c r="W147" i="12"/>
  <c r="W147" i="10"/>
  <c r="Y147" i="10" s="1"/>
  <c r="Z147" i="10" s="1"/>
  <c r="W147" i="3"/>
  <c r="N46" i="10"/>
  <c r="AL46" i="10"/>
  <c r="BH47" i="12"/>
  <c r="BI47" i="12" s="1"/>
  <c r="BJ47" i="12" s="1"/>
  <c r="L47" i="12"/>
  <c r="M47" i="12" s="1"/>
  <c r="R47" i="12" s="1"/>
  <c r="H148" i="12" s="1"/>
  <c r="L47" i="10"/>
  <c r="M47" i="10" s="1"/>
  <c r="R47" i="10" s="1"/>
  <c r="H148" i="10" s="1"/>
  <c r="D47" i="10"/>
  <c r="E47" i="10" s="1"/>
  <c r="J47" i="10" s="1"/>
  <c r="D148" i="10" s="1"/>
  <c r="U146" i="3"/>
  <c r="V146" i="3" s="1"/>
  <c r="BJ46" i="10"/>
  <c r="AS60" i="2"/>
  <c r="AT60" i="2" s="1"/>
  <c r="AM48" i="12"/>
  <c r="AN48" i="12" s="1"/>
  <c r="AO48" i="12" s="1"/>
  <c r="AM48" i="10"/>
  <c r="AN48" i="10" s="1"/>
  <c r="AO48" i="10" s="1"/>
  <c r="BC48" i="12"/>
  <c r="BD48" i="12" s="1"/>
  <c r="BE48" i="12" s="1"/>
  <c r="BC48" i="10"/>
  <c r="BD48" i="10" s="1"/>
  <c r="BE48" i="10" s="1"/>
  <c r="K147" i="12"/>
  <c r="K147" i="10"/>
  <c r="M147" i="10" s="1"/>
  <c r="N147" i="10" s="1"/>
  <c r="K147" i="3"/>
  <c r="AC146" i="3"/>
  <c r="AD146" i="3" s="1"/>
  <c r="T47" i="12"/>
  <c r="U47" i="12" s="1"/>
  <c r="V47" i="12" s="1"/>
  <c r="Z47" i="12"/>
  <c r="L148" i="12" s="1"/>
  <c r="AR47" i="12"/>
  <c r="AS47" i="12" s="1"/>
  <c r="AX47" i="12" s="1"/>
  <c r="X148" i="12" s="1"/>
  <c r="AT47" i="12"/>
  <c r="AB47" i="10"/>
  <c r="AC47" i="10" s="1"/>
  <c r="AD47" i="10" s="1"/>
  <c r="AZ47" i="10"/>
  <c r="BA47" i="10" s="1"/>
  <c r="BB47" i="10" s="1"/>
  <c r="G147" i="12"/>
  <c r="I147" i="12" s="1"/>
  <c r="J147" i="12" s="1"/>
  <c r="G147" i="10"/>
  <c r="I147" i="10" s="1"/>
  <c r="J147" i="10" s="1"/>
  <c r="G147" i="3"/>
  <c r="J46" i="10"/>
  <c r="D147" i="10" s="1"/>
  <c r="Y146" i="12"/>
  <c r="Z146" i="12" s="1"/>
  <c r="E146" i="3"/>
  <c r="F146" i="3" s="1"/>
  <c r="AE147" i="12"/>
  <c r="AG147" i="12" s="1"/>
  <c r="AH147" i="12" s="1"/>
  <c r="AE147" i="10"/>
  <c r="AG147" i="10" s="1"/>
  <c r="AH147" i="10" s="1"/>
  <c r="AE147" i="3"/>
  <c r="O48" i="12"/>
  <c r="P48" i="12" s="1"/>
  <c r="Q48" i="12" s="1"/>
  <c r="O48" i="10"/>
  <c r="P48" i="10" s="1"/>
  <c r="Q48" i="10" s="1"/>
  <c r="AU48" i="12"/>
  <c r="AV48" i="12" s="1"/>
  <c r="AW48" i="12" s="1"/>
  <c r="AU48" i="10"/>
  <c r="AV48" i="10" s="1"/>
  <c r="AW48" i="10" s="1"/>
  <c r="AB47" i="12"/>
  <c r="AC47" i="12" s="1"/>
  <c r="AH47" i="12" s="1"/>
  <c r="P148" i="12" s="1"/>
  <c r="AZ47" i="12"/>
  <c r="BA47" i="12" s="1"/>
  <c r="BB47" i="12" s="1"/>
  <c r="M146" i="3"/>
  <c r="N146" i="3" s="1"/>
  <c r="T47" i="10"/>
  <c r="U47" i="10" s="1"/>
  <c r="V47" i="10" s="1"/>
  <c r="Z47" i="10"/>
  <c r="L148" i="10" s="1"/>
  <c r="AR47" i="10"/>
  <c r="AS47" i="10" s="1"/>
  <c r="AX47" i="10" s="1"/>
  <c r="X148" i="10" s="1"/>
  <c r="Q146" i="3"/>
  <c r="R146" i="3" s="1"/>
  <c r="AQ48" i="10"/>
  <c r="AY48" i="10"/>
  <c r="S48" i="10"/>
  <c r="BG48" i="10"/>
  <c r="AA48" i="10"/>
  <c r="C48" i="10"/>
  <c r="AI48" i="10"/>
  <c r="K48" i="10"/>
  <c r="I146" i="3"/>
  <c r="J146" i="3" s="1"/>
  <c r="G48" i="12"/>
  <c r="H48" i="12" s="1"/>
  <c r="I48" i="12" s="1"/>
  <c r="G48" i="10"/>
  <c r="H48" i="10" s="1"/>
  <c r="I48" i="10" s="1"/>
  <c r="W48" i="12"/>
  <c r="X48" i="12" s="1"/>
  <c r="Y48" i="12" s="1"/>
  <c r="W48" i="10"/>
  <c r="X48" i="10" s="1"/>
  <c r="Y48" i="10" s="1"/>
  <c r="A49" i="12"/>
  <c r="A49" i="10"/>
  <c r="O147" i="12"/>
  <c r="Q147" i="12" s="1"/>
  <c r="R147" i="12" s="1"/>
  <c r="O147" i="10"/>
  <c r="Q147" i="10" s="1"/>
  <c r="R147" i="10" s="1"/>
  <c r="O147" i="3"/>
  <c r="AJ47" i="12"/>
  <c r="AK47" i="12" s="1"/>
  <c r="AL47" i="12" s="1"/>
  <c r="D47" i="12"/>
  <c r="E47" i="12" s="1"/>
  <c r="F47" i="12" s="1"/>
  <c r="AG146" i="3"/>
  <c r="AH146" i="3" s="1"/>
  <c r="AJ47" i="10"/>
  <c r="AK47" i="10" s="1"/>
  <c r="AL47" i="10" s="1"/>
  <c r="BH47" i="10"/>
  <c r="BI47" i="10" s="1"/>
  <c r="BJ47" i="10" s="1"/>
  <c r="AA48" i="12"/>
  <c r="S48" i="12"/>
  <c r="K48" i="12"/>
  <c r="C48" i="12"/>
  <c r="AI48" i="12"/>
  <c r="AY48" i="12"/>
  <c r="AQ48" i="12"/>
  <c r="BG48" i="12"/>
  <c r="Y146" i="3"/>
  <c r="Z146" i="3" s="1"/>
  <c r="N46" i="3"/>
  <c r="AH46" i="3"/>
  <c r="P147" i="3" s="1"/>
  <c r="Z46" i="3"/>
  <c r="L147" i="3" s="1"/>
  <c r="M147" i="3" s="1"/>
  <c r="N147" i="3" s="1"/>
  <c r="AL46" i="3"/>
  <c r="AT46" i="3"/>
  <c r="F46" i="3"/>
  <c r="BB46" i="3"/>
  <c r="BN46" i="3"/>
  <c r="AF147" i="3" s="1"/>
  <c r="AG147" i="3" s="1"/>
  <c r="AH147" i="3" s="1"/>
  <c r="AG60" i="2"/>
  <c r="AH60" i="2" s="1"/>
  <c r="AM60" i="2"/>
  <c r="AN60" i="2" s="1"/>
  <c r="BE60" i="2"/>
  <c r="BF60" i="2" s="1"/>
  <c r="V46" i="3"/>
  <c r="AY60" i="2"/>
  <c r="AZ60" i="2" s="1"/>
  <c r="U60" i="2"/>
  <c r="V60" i="2" s="1"/>
  <c r="AM48" i="3"/>
  <c r="AN48" i="3" s="1"/>
  <c r="AO48" i="3" s="1"/>
  <c r="AI61" i="2"/>
  <c r="AK61" i="2"/>
  <c r="BC48" i="3"/>
  <c r="BD48" i="3" s="1"/>
  <c r="BE48" i="3" s="1"/>
  <c r="AU61" i="2"/>
  <c r="AW61" i="2"/>
  <c r="L60" i="2"/>
  <c r="O60" i="2"/>
  <c r="P60" i="2" s="1"/>
  <c r="BJ46" i="3"/>
  <c r="AD46" i="3"/>
  <c r="AR47" i="3"/>
  <c r="AS47" i="3" s="1"/>
  <c r="D47" i="3"/>
  <c r="E47" i="3" s="1"/>
  <c r="E42" i="22" s="1"/>
  <c r="T47" i="3"/>
  <c r="U47" i="3" s="1"/>
  <c r="BG59" i="2"/>
  <c r="BF46" i="3"/>
  <c r="AB147" i="3" s="1"/>
  <c r="O48" i="3"/>
  <c r="P48" i="3" s="1"/>
  <c r="Q48" i="3" s="1"/>
  <c r="Q61" i="2"/>
  <c r="S61" i="2"/>
  <c r="AU48" i="3"/>
  <c r="AV48" i="3" s="1"/>
  <c r="AW48" i="3" s="1"/>
  <c r="AO61" i="2"/>
  <c r="AQ61" i="2"/>
  <c r="AA48" i="3"/>
  <c r="AQ48" i="3"/>
  <c r="C48" i="3"/>
  <c r="S48" i="3"/>
  <c r="AI48" i="3"/>
  <c r="K48" i="3"/>
  <c r="BG48" i="3"/>
  <c r="AY48" i="3"/>
  <c r="AJ47" i="3"/>
  <c r="AK47" i="3" s="1"/>
  <c r="AX46" i="3"/>
  <c r="X147" i="3" s="1"/>
  <c r="Y147" i="3" s="1"/>
  <c r="Z147" i="3" s="1"/>
  <c r="AB47" i="3"/>
  <c r="AC47" i="3" s="1"/>
  <c r="BH47" i="3"/>
  <c r="BI47" i="3" s="1"/>
  <c r="G48" i="3"/>
  <c r="H48" i="3" s="1"/>
  <c r="I48" i="3" s="1"/>
  <c r="K61" i="2"/>
  <c r="M61" i="2"/>
  <c r="N61" i="2" s="1"/>
  <c r="W48" i="3"/>
  <c r="X48" i="3" s="1"/>
  <c r="Y48" i="3" s="1"/>
  <c r="W61" i="2"/>
  <c r="Y61" i="2"/>
  <c r="A63" i="2"/>
  <c r="A49" i="3"/>
  <c r="G62" i="2"/>
  <c r="H62" i="2"/>
  <c r="I62" i="2"/>
  <c r="F62" i="2"/>
  <c r="D62" i="2"/>
  <c r="E62" i="2"/>
  <c r="C62" i="2"/>
  <c r="B62" i="2"/>
  <c r="R46" i="3"/>
  <c r="H147" i="3" s="1"/>
  <c r="AZ47" i="3"/>
  <c r="BA47" i="3" s="1"/>
  <c r="L47" i="3"/>
  <c r="M47" i="3" s="1"/>
  <c r="AA60" i="2"/>
  <c r="AB60" i="2" s="1"/>
  <c r="J46" i="3"/>
  <c r="D147" i="3" s="1"/>
  <c r="AP46" i="3"/>
  <c r="T147" i="3" s="1"/>
  <c r="U147" i="3" s="1"/>
  <c r="V147" i="3" s="1"/>
  <c r="AE48" i="3"/>
  <c r="AF48" i="3" s="1"/>
  <c r="AG48" i="3" s="1"/>
  <c r="AC61" i="2"/>
  <c r="AE61" i="2"/>
  <c r="BC61" i="2"/>
  <c r="BK48" i="3"/>
  <c r="BL48" i="3" s="1"/>
  <c r="BM48" i="3" s="1"/>
  <c r="BA61" i="2"/>
  <c r="J47" i="12" l="1"/>
  <c r="D148" i="12" s="1"/>
  <c r="AC147" i="10"/>
  <c r="AD147" i="10" s="1"/>
  <c r="Y147" i="12"/>
  <c r="Z147" i="12" s="1"/>
  <c r="A56" i="19"/>
  <c r="I55" i="19"/>
  <c r="J55" i="19"/>
  <c r="K55" i="19"/>
  <c r="H55" i="19"/>
  <c r="L55" i="19"/>
  <c r="C55" i="19"/>
  <c r="D55" i="19"/>
  <c r="E55" i="19"/>
  <c r="B55" i="19"/>
  <c r="F55" i="19"/>
  <c r="N47" i="10"/>
  <c r="AH47" i="10"/>
  <c r="P148" i="10" s="1"/>
  <c r="BN47" i="10"/>
  <c r="AF148" i="10" s="1"/>
  <c r="Q147" i="3"/>
  <c r="R147" i="3" s="1"/>
  <c r="AG61" i="2"/>
  <c r="AH61" i="2" s="1"/>
  <c r="O149" i="3" s="1"/>
  <c r="BG60" i="2"/>
  <c r="AT47" i="10"/>
  <c r="M147" i="12"/>
  <c r="N147" i="12" s="1"/>
  <c r="F47" i="10"/>
  <c r="BF47" i="12"/>
  <c r="AB148" i="12" s="1"/>
  <c r="N47" i="12"/>
  <c r="O149" i="10"/>
  <c r="O49" i="12"/>
  <c r="P49" i="12" s="1"/>
  <c r="Q49" i="12" s="1"/>
  <c r="O49" i="10"/>
  <c r="P49" i="10" s="1"/>
  <c r="Q49" i="10" s="1"/>
  <c r="BK49" i="12"/>
  <c r="BL49" i="12" s="1"/>
  <c r="BM49" i="12" s="1"/>
  <c r="BK49" i="10"/>
  <c r="BL49" i="10" s="1"/>
  <c r="BM49" i="10" s="1"/>
  <c r="A50" i="12"/>
  <c r="A50" i="10"/>
  <c r="AE148" i="12"/>
  <c r="AE148" i="10"/>
  <c r="AG148" i="10" s="1"/>
  <c r="AH148" i="10" s="1"/>
  <c r="AE148" i="3"/>
  <c r="BH48" i="12"/>
  <c r="BI48" i="12" s="1"/>
  <c r="BN48" i="12" s="1"/>
  <c r="AF149" i="12" s="1"/>
  <c r="D48" i="12"/>
  <c r="E48" i="12" s="1"/>
  <c r="J48" i="12" s="1"/>
  <c r="D149" i="12" s="1"/>
  <c r="AP47" i="10"/>
  <c r="T148" i="10" s="1"/>
  <c r="AP47" i="12"/>
  <c r="T148" i="12" s="1"/>
  <c r="L48" i="10"/>
  <c r="M48" i="10" s="1"/>
  <c r="R48" i="10" s="1"/>
  <c r="H149" i="10" s="1"/>
  <c r="BH48" i="10"/>
  <c r="BI48" i="10" s="1"/>
  <c r="BN48" i="10" s="1"/>
  <c r="AF149" i="10" s="1"/>
  <c r="AD47" i="12"/>
  <c r="I147" i="3"/>
  <c r="J147" i="3" s="1"/>
  <c r="BF47" i="10"/>
  <c r="AB148" i="10" s="1"/>
  <c r="BN47" i="12"/>
  <c r="AF148" i="12" s="1"/>
  <c r="C148" i="12"/>
  <c r="E148" i="12" s="1"/>
  <c r="F148" i="12" s="1"/>
  <c r="C148" i="10"/>
  <c r="E148" i="10" s="1"/>
  <c r="F148" i="10" s="1"/>
  <c r="C148" i="3"/>
  <c r="G148" i="12"/>
  <c r="I148" i="12" s="1"/>
  <c r="J148" i="12" s="1"/>
  <c r="G148" i="10"/>
  <c r="I148" i="10" s="1"/>
  <c r="J148" i="10" s="1"/>
  <c r="G148" i="3"/>
  <c r="S148" i="12"/>
  <c r="S148" i="10"/>
  <c r="S148" i="3"/>
  <c r="AR48" i="12"/>
  <c r="AS48" i="12" s="1"/>
  <c r="AX48" i="12" s="1"/>
  <c r="X149" i="12" s="1"/>
  <c r="L48" i="12"/>
  <c r="M48" i="12" s="1"/>
  <c r="N48" i="12" s="1"/>
  <c r="AQ49" i="10"/>
  <c r="C49" i="10"/>
  <c r="S49" i="10"/>
  <c r="AY49" i="10"/>
  <c r="K49" i="10"/>
  <c r="AI49" i="10"/>
  <c r="BG49" i="10"/>
  <c r="AA49" i="10"/>
  <c r="AJ48" i="10"/>
  <c r="AK48" i="10" s="1"/>
  <c r="AP48" i="10" s="1"/>
  <c r="T149" i="10" s="1"/>
  <c r="T48" i="10"/>
  <c r="U48" i="10" s="1"/>
  <c r="Z48" i="10" s="1"/>
  <c r="L149" i="10" s="1"/>
  <c r="E147" i="3"/>
  <c r="F147" i="3" s="1"/>
  <c r="BC49" i="12"/>
  <c r="BD49" i="12" s="1"/>
  <c r="BE49" i="12" s="1"/>
  <c r="BC49" i="10"/>
  <c r="BD49" i="10" s="1"/>
  <c r="BE49" i="10" s="1"/>
  <c r="W49" i="12"/>
  <c r="X49" i="12" s="1"/>
  <c r="Y49" i="12" s="1"/>
  <c r="W49" i="10"/>
  <c r="X49" i="10" s="1"/>
  <c r="Y49" i="10" s="1"/>
  <c r="AU49" i="12"/>
  <c r="AV49" i="12" s="1"/>
  <c r="AW49" i="12" s="1"/>
  <c r="AU49" i="10"/>
  <c r="AV49" i="10" s="1"/>
  <c r="AW49" i="10" s="1"/>
  <c r="AA148" i="12"/>
  <c r="AC148" i="12" s="1"/>
  <c r="AD148" i="12" s="1"/>
  <c r="AA148" i="10"/>
  <c r="AA148" i="3"/>
  <c r="O148" i="12"/>
  <c r="Q148" i="12" s="1"/>
  <c r="R148" i="12" s="1"/>
  <c r="O148" i="10"/>
  <c r="Q148" i="10" s="1"/>
  <c r="R148" i="10" s="1"/>
  <c r="O148" i="3"/>
  <c r="AZ48" i="12"/>
  <c r="BA48" i="12" s="1"/>
  <c r="BF48" i="12" s="1"/>
  <c r="AB149" i="12" s="1"/>
  <c r="T48" i="12"/>
  <c r="U48" i="12" s="1"/>
  <c r="Z48" i="12" s="1"/>
  <c r="L149" i="12" s="1"/>
  <c r="C49" i="12"/>
  <c r="AI49" i="12"/>
  <c r="K49" i="12"/>
  <c r="AY49" i="12"/>
  <c r="AA49" i="12"/>
  <c r="AQ49" i="12"/>
  <c r="S49" i="12"/>
  <c r="BG49" i="12"/>
  <c r="D48" i="10"/>
  <c r="E48" i="10" s="1"/>
  <c r="J48" i="10" s="1"/>
  <c r="D149" i="10" s="1"/>
  <c r="AZ48" i="10"/>
  <c r="BA48" i="10" s="1"/>
  <c r="BB48" i="10" s="1"/>
  <c r="E147" i="10"/>
  <c r="F147" i="10" s="1"/>
  <c r="AE49" i="12"/>
  <c r="AF49" i="12" s="1"/>
  <c r="AG49" i="12" s="1"/>
  <c r="AE49" i="10"/>
  <c r="AF49" i="10" s="1"/>
  <c r="AG49" i="10" s="1"/>
  <c r="K148" i="12"/>
  <c r="M148" i="12" s="1"/>
  <c r="N148" i="12" s="1"/>
  <c r="K148" i="10"/>
  <c r="M148" i="10" s="1"/>
  <c r="N148" i="10" s="1"/>
  <c r="K148" i="3"/>
  <c r="G49" i="12"/>
  <c r="H49" i="12" s="1"/>
  <c r="I49" i="12" s="1"/>
  <c r="G49" i="10"/>
  <c r="H49" i="10" s="1"/>
  <c r="I49" i="10" s="1"/>
  <c r="AM49" i="12"/>
  <c r="AN49" i="12" s="1"/>
  <c r="AO49" i="12" s="1"/>
  <c r="AM49" i="10"/>
  <c r="AN49" i="10" s="1"/>
  <c r="AO49" i="10" s="1"/>
  <c r="AJ48" i="12"/>
  <c r="AK48" i="12" s="1"/>
  <c r="AP48" i="12" s="1"/>
  <c r="T149" i="12" s="1"/>
  <c r="AB48" i="12"/>
  <c r="AC48" i="12" s="1"/>
  <c r="AD48" i="12" s="1"/>
  <c r="AB48" i="10"/>
  <c r="AC48" i="10" s="1"/>
  <c r="AH48" i="10" s="1"/>
  <c r="P149" i="10" s="1"/>
  <c r="AR48" i="10"/>
  <c r="AS48" i="10" s="1"/>
  <c r="AX48" i="10" s="1"/>
  <c r="X149" i="10" s="1"/>
  <c r="W148" i="12"/>
  <c r="Y148" i="12" s="1"/>
  <c r="Z148" i="12" s="1"/>
  <c r="W148" i="10"/>
  <c r="Y148" i="10" s="1"/>
  <c r="Z148" i="10" s="1"/>
  <c r="W148" i="3"/>
  <c r="AC147" i="3"/>
  <c r="AD147" i="3" s="1"/>
  <c r="R47" i="3"/>
  <c r="H148" i="3" s="1"/>
  <c r="AD47" i="3"/>
  <c r="V47" i="3"/>
  <c r="BN47" i="3"/>
  <c r="AF148" i="3" s="1"/>
  <c r="F47" i="3"/>
  <c r="BF47" i="3"/>
  <c r="AB148" i="3" s="1"/>
  <c r="AP47" i="3"/>
  <c r="T148" i="3" s="1"/>
  <c r="AX47" i="3"/>
  <c r="X148" i="3" s="1"/>
  <c r="N47" i="3"/>
  <c r="AL47" i="3"/>
  <c r="U61" i="2"/>
  <c r="V61" i="2" s="1"/>
  <c r="BB47" i="3"/>
  <c r="BE61" i="2"/>
  <c r="BF61" i="2" s="1"/>
  <c r="AE49" i="3"/>
  <c r="AF49" i="3" s="1"/>
  <c r="AG49" i="3" s="1"/>
  <c r="AC62" i="2"/>
  <c r="AE62" i="2"/>
  <c r="BC49" i="3"/>
  <c r="BD49" i="3" s="1"/>
  <c r="BE49" i="3" s="1"/>
  <c r="AU62" i="2"/>
  <c r="AW62" i="2"/>
  <c r="L61" i="2"/>
  <c r="O61" i="2"/>
  <c r="P61" i="2" s="1"/>
  <c r="BH48" i="3"/>
  <c r="BI48" i="3" s="1"/>
  <c r="D48" i="3"/>
  <c r="E48" i="3" s="1"/>
  <c r="E43" i="22" s="1"/>
  <c r="W49" i="3"/>
  <c r="X49" i="3" s="1"/>
  <c r="Y49" i="3" s="1"/>
  <c r="W62" i="2"/>
  <c r="Y62" i="2"/>
  <c r="AU49" i="3"/>
  <c r="AV49" i="3" s="1"/>
  <c r="AW49" i="3" s="1"/>
  <c r="AO62" i="2"/>
  <c r="AQ62" i="2"/>
  <c r="AA61" i="2"/>
  <c r="AB61" i="2" s="1"/>
  <c r="AH47" i="3"/>
  <c r="P148" i="3" s="1"/>
  <c r="L48" i="3"/>
  <c r="M48" i="3" s="1"/>
  <c r="AR48" i="3"/>
  <c r="AS48" i="3" s="1"/>
  <c r="Z47" i="3"/>
  <c r="L148" i="3" s="1"/>
  <c r="AT47" i="3"/>
  <c r="G49" i="3"/>
  <c r="H49" i="3" s="1"/>
  <c r="I49" i="3" s="1"/>
  <c r="K62" i="2"/>
  <c r="M62" i="2"/>
  <c r="N62" i="2" s="1"/>
  <c r="AM49" i="3"/>
  <c r="AN49" i="3" s="1"/>
  <c r="AO49" i="3" s="1"/>
  <c r="AI62" i="2"/>
  <c r="AK62" i="2"/>
  <c r="C49" i="3"/>
  <c r="BG49" i="3"/>
  <c r="AQ49" i="3"/>
  <c r="S49" i="3"/>
  <c r="AI49" i="3"/>
  <c r="K49" i="3"/>
  <c r="AA49" i="3"/>
  <c r="AY49" i="3"/>
  <c r="AJ48" i="3"/>
  <c r="AK48" i="3" s="1"/>
  <c r="AB48" i="3"/>
  <c r="AC48" i="3" s="1"/>
  <c r="AM61" i="2"/>
  <c r="AN61" i="2" s="1"/>
  <c r="O49" i="3"/>
  <c r="P49" i="3" s="1"/>
  <c r="Q49" i="3" s="1"/>
  <c r="Q62" i="2"/>
  <c r="S62" i="2"/>
  <c r="BC62" i="2"/>
  <c r="BK49" i="3"/>
  <c r="BL49" i="3" s="1"/>
  <c r="BM49" i="3" s="1"/>
  <c r="BA62" i="2"/>
  <c r="A64" i="2"/>
  <c r="A50" i="3"/>
  <c r="H63" i="2"/>
  <c r="I63" i="2"/>
  <c r="G63" i="2"/>
  <c r="D63" i="2"/>
  <c r="E63" i="2"/>
  <c r="F63" i="2"/>
  <c r="C63" i="2"/>
  <c r="B63" i="2"/>
  <c r="BJ47" i="3"/>
  <c r="AZ48" i="3"/>
  <c r="BA48" i="3" s="1"/>
  <c r="T48" i="3"/>
  <c r="U48" i="3" s="1"/>
  <c r="AS61" i="2"/>
  <c r="AT61" i="2" s="1"/>
  <c r="J47" i="3"/>
  <c r="D148" i="3" s="1"/>
  <c r="AY61" i="2"/>
  <c r="AZ61" i="2" s="1"/>
  <c r="BF48" i="10" l="1"/>
  <c r="AB149" i="10" s="1"/>
  <c r="AT48" i="10"/>
  <c r="AC148" i="10"/>
  <c r="AD148" i="10" s="1"/>
  <c r="BB48" i="12"/>
  <c r="A57" i="19"/>
  <c r="H56" i="19"/>
  <c r="L56" i="19"/>
  <c r="I56" i="19"/>
  <c r="J56" i="19"/>
  <c r="K56" i="19"/>
  <c r="B56" i="19"/>
  <c r="F56" i="19"/>
  <c r="C56" i="19"/>
  <c r="D56" i="19"/>
  <c r="E56" i="19"/>
  <c r="O149" i="12"/>
  <c r="V48" i="10"/>
  <c r="U148" i="12"/>
  <c r="V148" i="12" s="1"/>
  <c r="N48" i="10"/>
  <c r="AL48" i="10"/>
  <c r="F48" i="12"/>
  <c r="AH48" i="12"/>
  <c r="P149" i="12" s="1"/>
  <c r="AG148" i="12"/>
  <c r="AH148" i="12" s="1"/>
  <c r="W149" i="12"/>
  <c r="Y149" i="12" s="1"/>
  <c r="Z149" i="12" s="1"/>
  <c r="W149" i="10"/>
  <c r="Y149" i="10" s="1"/>
  <c r="Z149" i="10" s="1"/>
  <c r="W149" i="3"/>
  <c r="AA149" i="12"/>
  <c r="AC149" i="12" s="1"/>
  <c r="AD149" i="12" s="1"/>
  <c r="AA149" i="10"/>
  <c r="AC149" i="10" s="1"/>
  <c r="AD149" i="10" s="1"/>
  <c r="AA149" i="3"/>
  <c r="AM50" i="12"/>
  <c r="AN50" i="12" s="1"/>
  <c r="AO50" i="12" s="1"/>
  <c r="AM50" i="10"/>
  <c r="AN50" i="10" s="1"/>
  <c r="AO50" i="10" s="1"/>
  <c r="BK50" i="12"/>
  <c r="BL50" i="12" s="1"/>
  <c r="BM50" i="12" s="1"/>
  <c r="BK50" i="10"/>
  <c r="BL50" i="10" s="1"/>
  <c r="BM50" i="10" s="1"/>
  <c r="K149" i="12"/>
  <c r="M149" i="12" s="1"/>
  <c r="N149" i="12" s="1"/>
  <c r="K149" i="10"/>
  <c r="M149" i="10" s="1"/>
  <c r="N149" i="10" s="1"/>
  <c r="K149" i="3"/>
  <c r="M148" i="3"/>
  <c r="N148" i="3" s="1"/>
  <c r="BH49" i="12"/>
  <c r="BI49" i="12" s="1"/>
  <c r="BN49" i="12" s="1"/>
  <c r="AF150" i="12" s="1"/>
  <c r="AZ49" i="12"/>
  <c r="BA49" i="12" s="1"/>
  <c r="BF49" i="12" s="1"/>
  <c r="AB150" i="12" s="1"/>
  <c r="V48" i="12"/>
  <c r="L49" i="10"/>
  <c r="M49" i="10" s="1"/>
  <c r="R49" i="10" s="1"/>
  <c r="H150" i="10" s="1"/>
  <c r="AR49" i="10"/>
  <c r="AS49" i="10" s="1"/>
  <c r="AX49" i="10" s="1"/>
  <c r="X150" i="10" s="1"/>
  <c r="AT48" i="12"/>
  <c r="U148" i="10"/>
  <c r="V148" i="10" s="1"/>
  <c r="BJ48" i="10"/>
  <c r="AG148" i="3"/>
  <c r="AH148" i="3" s="1"/>
  <c r="AA50" i="12"/>
  <c r="K50" i="12"/>
  <c r="AI50" i="12"/>
  <c r="AQ50" i="12"/>
  <c r="C50" i="12"/>
  <c r="AY50" i="12"/>
  <c r="S50" i="12"/>
  <c r="BG50" i="12"/>
  <c r="G50" i="12"/>
  <c r="H50" i="12" s="1"/>
  <c r="I50" i="12" s="1"/>
  <c r="G50" i="10"/>
  <c r="H50" i="10" s="1"/>
  <c r="I50" i="10" s="1"/>
  <c r="AU50" i="12"/>
  <c r="AV50" i="12" s="1"/>
  <c r="AW50" i="12" s="1"/>
  <c r="AU50" i="10"/>
  <c r="AV50" i="10" s="1"/>
  <c r="AW50" i="10" s="1"/>
  <c r="A51" i="12"/>
  <c r="A51" i="10"/>
  <c r="AE50" i="12"/>
  <c r="AF50" i="12" s="1"/>
  <c r="AG50" i="12" s="1"/>
  <c r="AE50" i="10"/>
  <c r="AF50" i="10" s="1"/>
  <c r="AG50" i="10" s="1"/>
  <c r="BC50" i="12"/>
  <c r="BD50" i="12" s="1"/>
  <c r="BE50" i="12" s="1"/>
  <c r="BC50" i="10"/>
  <c r="BD50" i="10" s="1"/>
  <c r="BE50" i="10" s="1"/>
  <c r="C149" i="12"/>
  <c r="E149" i="12" s="1"/>
  <c r="F149" i="12" s="1"/>
  <c r="C149" i="10"/>
  <c r="E149" i="10" s="1"/>
  <c r="F149" i="10" s="1"/>
  <c r="C149" i="3"/>
  <c r="AE149" i="12"/>
  <c r="AG149" i="12" s="1"/>
  <c r="AH149" i="12" s="1"/>
  <c r="AE149" i="10"/>
  <c r="AG149" i="10" s="1"/>
  <c r="AH149" i="10" s="1"/>
  <c r="AE149" i="3"/>
  <c r="AD48" i="10"/>
  <c r="AL48" i="12"/>
  <c r="F48" i="10"/>
  <c r="T49" i="12"/>
  <c r="U49" i="12" s="1"/>
  <c r="V49" i="12" s="1"/>
  <c r="L49" i="12"/>
  <c r="M49" i="12" s="1"/>
  <c r="R49" i="12" s="1"/>
  <c r="H150" i="12" s="1"/>
  <c r="AC148" i="3"/>
  <c r="AD148" i="3" s="1"/>
  <c r="AB49" i="10"/>
  <c r="AC49" i="10" s="1"/>
  <c r="AH49" i="10" s="1"/>
  <c r="P150" i="10" s="1"/>
  <c r="AZ49" i="10"/>
  <c r="BA49" i="10" s="1"/>
  <c r="BF49" i="10" s="1"/>
  <c r="AB150" i="10" s="1"/>
  <c r="R48" i="12"/>
  <c r="H149" i="12" s="1"/>
  <c r="E148" i="3"/>
  <c r="F148" i="3" s="1"/>
  <c r="W50" i="12"/>
  <c r="X50" i="12" s="1"/>
  <c r="Y50" i="12" s="1"/>
  <c r="W50" i="10"/>
  <c r="X50" i="10" s="1"/>
  <c r="Y50" i="10" s="1"/>
  <c r="S149" i="12"/>
  <c r="U149" i="12" s="1"/>
  <c r="V149" i="12" s="1"/>
  <c r="S149" i="10"/>
  <c r="U149" i="10" s="1"/>
  <c r="V149" i="10" s="1"/>
  <c r="S149" i="3"/>
  <c r="AR49" i="12"/>
  <c r="AS49" i="12" s="1"/>
  <c r="AT49" i="12" s="1"/>
  <c r="AJ49" i="12"/>
  <c r="AK49" i="12" s="1"/>
  <c r="AL49" i="12" s="1"/>
  <c r="Q148" i="3"/>
  <c r="R148" i="3" s="1"/>
  <c r="BH49" i="10"/>
  <c r="BI49" i="10" s="1"/>
  <c r="BN49" i="10" s="1"/>
  <c r="AF150" i="10" s="1"/>
  <c r="T49" i="10"/>
  <c r="U49" i="10" s="1"/>
  <c r="V49" i="10" s="1"/>
  <c r="I148" i="3"/>
  <c r="J148" i="3" s="1"/>
  <c r="BJ48" i="12"/>
  <c r="Q149" i="10"/>
  <c r="R149" i="10" s="1"/>
  <c r="O50" i="12"/>
  <c r="P50" i="12" s="1"/>
  <c r="Q50" i="12" s="1"/>
  <c r="O50" i="10"/>
  <c r="P50" i="10" s="1"/>
  <c r="Q50" i="10" s="1"/>
  <c r="G149" i="12"/>
  <c r="I149" i="12" s="1"/>
  <c r="J149" i="12" s="1"/>
  <c r="G149" i="10"/>
  <c r="I149" i="10" s="1"/>
  <c r="J149" i="10" s="1"/>
  <c r="G149" i="3"/>
  <c r="Y148" i="3"/>
  <c r="Z148" i="3" s="1"/>
  <c r="AB49" i="12"/>
  <c r="AC49" i="12" s="1"/>
  <c r="AH49" i="12" s="1"/>
  <c r="P150" i="12" s="1"/>
  <c r="D49" i="12"/>
  <c r="E49" i="12" s="1"/>
  <c r="F49" i="12" s="1"/>
  <c r="AJ49" i="10"/>
  <c r="AK49" i="10" s="1"/>
  <c r="AL49" i="10" s="1"/>
  <c r="D49" i="10"/>
  <c r="E49" i="10" s="1"/>
  <c r="J49" i="10" s="1"/>
  <c r="D150" i="10" s="1"/>
  <c r="U148" i="3"/>
  <c r="V148" i="3" s="1"/>
  <c r="AQ50" i="10"/>
  <c r="C50" i="10"/>
  <c r="AY50" i="10"/>
  <c r="AA50" i="10"/>
  <c r="AI50" i="10"/>
  <c r="K50" i="10"/>
  <c r="S50" i="10"/>
  <c r="BG50" i="10"/>
  <c r="N48" i="3"/>
  <c r="V48" i="3"/>
  <c r="AH48" i="3"/>
  <c r="P149" i="3" s="1"/>
  <c r="Q149" i="3" s="1"/>
  <c r="R149" i="3" s="1"/>
  <c r="F48" i="3"/>
  <c r="BN48" i="3"/>
  <c r="AF149" i="3" s="1"/>
  <c r="BB48" i="3"/>
  <c r="AP48" i="3"/>
  <c r="T149" i="3" s="1"/>
  <c r="AT48" i="3"/>
  <c r="BG61" i="2"/>
  <c r="BF48" i="3"/>
  <c r="AB149" i="3" s="1"/>
  <c r="U62" i="2"/>
  <c r="V62" i="2" s="1"/>
  <c r="BE62" i="2"/>
  <c r="BF62" i="2" s="1"/>
  <c r="R48" i="3"/>
  <c r="H149" i="3" s="1"/>
  <c r="AL48" i="3"/>
  <c r="AG62" i="2"/>
  <c r="AH62" i="2" s="1"/>
  <c r="O50" i="3"/>
  <c r="P50" i="3" s="1"/>
  <c r="Q50" i="3" s="1"/>
  <c r="Q63" i="2"/>
  <c r="S63" i="2"/>
  <c r="A65" i="2"/>
  <c r="A51" i="3"/>
  <c r="G64" i="2"/>
  <c r="H64" i="2"/>
  <c r="I64" i="2"/>
  <c r="D64" i="2"/>
  <c r="E64" i="2"/>
  <c r="C64" i="2"/>
  <c r="B64" i="2"/>
  <c r="F64" i="2"/>
  <c r="AJ49" i="3"/>
  <c r="AK49" i="3" s="1"/>
  <c r="D49" i="3"/>
  <c r="E49" i="3" s="1"/>
  <c r="E44" i="22" s="1"/>
  <c r="AU50" i="3"/>
  <c r="AV50" i="3" s="1"/>
  <c r="AW50" i="3" s="1"/>
  <c r="AO63" i="2"/>
  <c r="AQ63" i="2"/>
  <c r="AM50" i="3"/>
  <c r="AN50" i="3" s="1"/>
  <c r="AO50" i="3" s="1"/>
  <c r="AI63" i="2"/>
  <c r="AK63" i="2"/>
  <c r="BC63" i="2"/>
  <c r="BK50" i="3"/>
  <c r="BL50" i="3" s="1"/>
  <c r="BM50" i="3" s="1"/>
  <c r="BA63" i="2"/>
  <c r="BG62" i="2"/>
  <c r="AD48" i="3"/>
  <c r="AZ49" i="3"/>
  <c r="BA49" i="3" s="1"/>
  <c r="T49" i="3"/>
  <c r="U49" i="3" s="1"/>
  <c r="L62" i="2"/>
  <c r="O62" i="2"/>
  <c r="P62" i="2" s="1"/>
  <c r="BJ48" i="3"/>
  <c r="AY62" i="2"/>
  <c r="AZ62" i="2" s="1"/>
  <c r="Z48" i="3"/>
  <c r="L149" i="3" s="1"/>
  <c r="AE50" i="3"/>
  <c r="AF50" i="3" s="1"/>
  <c r="AG50" i="3" s="1"/>
  <c r="AC63" i="2"/>
  <c r="AE63" i="2"/>
  <c r="BC50" i="3"/>
  <c r="BD50" i="3" s="1"/>
  <c r="BE50" i="3" s="1"/>
  <c r="AU63" i="2"/>
  <c r="AW63" i="2"/>
  <c r="AB49" i="3"/>
  <c r="AC49" i="3" s="1"/>
  <c r="AR49" i="3"/>
  <c r="AS49" i="3" s="1"/>
  <c r="AM62" i="2"/>
  <c r="AN62" i="2" s="1"/>
  <c r="AX48" i="3"/>
  <c r="X149" i="3" s="1"/>
  <c r="J48" i="3"/>
  <c r="D149" i="3" s="1"/>
  <c r="G50" i="3"/>
  <c r="H50" i="3" s="1"/>
  <c r="I50" i="3" s="1"/>
  <c r="K63" i="2"/>
  <c r="M63" i="2"/>
  <c r="N63" i="2" s="1"/>
  <c r="W50" i="3"/>
  <c r="X50" i="3" s="1"/>
  <c r="Y50" i="3" s="1"/>
  <c r="W63" i="2"/>
  <c r="Y63" i="2"/>
  <c r="AI50" i="3"/>
  <c r="BG50" i="3"/>
  <c r="AQ50" i="3"/>
  <c r="AA50" i="3"/>
  <c r="K50" i="3"/>
  <c r="AY50" i="3"/>
  <c r="C50" i="3"/>
  <c r="S50" i="3"/>
  <c r="L49" i="3"/>
  <c r="M49" i="3" s="1"/>
  <c r="BH49" i="3"/>
  <c r="BI49" i="3" s="1"/>
  <c r="AS62" i="2"/>
  <c r="AT62" i="2" s="1"/>
  <c r="AA62" i="2"/>
  <c r="AB62" i="2" s="1"/>
  <c r="F49" i="10" l="1"/>
  <c r="AD49" i="10"/>
  <c r="N49" i="12"/>
  <c r="AP49" i="10"/>
  <c r="T150" i="10" s="1"/>
  <c r="A58" i="19"/>
  <c r="K57" i="19"/>
  <c r="H57" i="19"/>
  <c r="L57" i="19"/>
  <c r="I57" i="19"/>
  <c r="J57" i="19"/>
  <c r="E57" i="19"/>
  <c r="B57" i="19"/>
  <c r="F57" i="19"/>
  <c r="C57" i="19"/>
  <c r="D57" i="19"/>
  <c r="BJ49" i="10"/>
  <c r="BB49" i="10"/>
  <c r="Q149" i="12"/>
  <c r="R149" i="12" s="1"/>
  <c r="N49" i="10"/>
  <c r="BB49" i="12"/>
  <c r="J49" i="12"/>
  <c r="D150" i="12" s="1"/>
  <c r="Z49" i="10"/>
  <c r="L150" i="10" s="1"/>
  <c r="Z49" i="12"/>
  <c r="L150" i="12" s="1"/>
  <c r="AP49" i="12"/>
  <c r="T150" i="12" s="1"/>
  <c r="AT49" i="10"/>
  <c r="S150" i="12"/>
  <c r="S150" i="10"/>
  <c r="U150" i="10" s="1"/>
  <c r="V150" i="10" s="1"/>
  <c r="S150" i="3"/>
  <c r="C150" i="12"/>
  <c r="E150" i="12" s="1"/>
  <c r="F150" i="12" s="1"/>
  <c r="C150" i="10"/>
  <c r="E150" i="10" s="1"/>
  <c r="F150" i="10" s="1"/>
  <c r="C150" i="3"/>
  <c r="AE51" i="12"/>
  <c r="AF51" i="12" s="1"/>
  <c r="AG51" i="12" s="1"/>
  <c r="AE51" i="10"/>
  <c r="AF51" i="10" s="1"/>
  <c r="AG51" i="10" s="1"/>
  <c r="AU51" i="12"/>
  <c r="AV51" i="12" s="1"/>
  <c r="AW51" i="12" s="1"/>
  <c r="AU51" i="10"/>
  <c r="AV51" i="10" s="1"/>
  <c r="AW51" i="10" s="1"/>
  <c r="AJ50" i="10"/>
  <c r="AK50" i="10" s="1"/>
  <c r="AL50" i="10" s="1"/>
  <c r="AR50" i="10"/>
  <c r="AS50" i="10" s="1"/>
  <c r="AT50" i="10" s="1"/>
  <c r="AX49" i="12"/>
  <c r="X150" i="12" s="1"/>
  <c r="K51" i="10"/>
  <c r="AI51" i="10"/>
  <c r="S51" i="10"/>
  <c r="BG51" i="10"/>
  <c r="AQ51" i="10"/>
  <c r="C51" i="10"/>
  <c r="AY51" i="10"/>
  <c r="AA51" i="10"/>
  <c r="AZ50" i="12"/>
  <c r="BA50" i="12" s="1"/>
  <c r="BF50" i="12" s="1"/>
  <c r="AB151" i="12" s="1"/>
  <c r="L50" i="12"/>
  <c r="M50" i="12" s="1"/>
  <c r="N50" i="12" s="1"/>
  <c r="BJ49" i="12"/>
  <c r="K150" i="12"/>
  <c r="M150" i="12" s="1"/>
  <c r="N150" i="12" s="1"/>
  <c r="K150" i="10"/>
  <c r="M150" i="10" s="1"/>
  <c r="N150" i="10" s="1"/>
  <c r="K150" i="3"/>
  <c r="W150" i="12"/>
  <c r="Y150" i="12" s="1"/>
  <c r="Z150" i="12" s="1"/>
  <c r="W150" i="10"/>
  <c r="Y150" i="10" s="1"/>
  <c r="Z150" i="10" s="1"/>
  <c r="W150" i="3"/>
  <c r="AM51" i="12"/>
  <c r="AN51" i="12" s="1"/>
  <c r="AO51" i="12" s="1"/>
  <c r="AM51" i="10"/>
  <c r="AN51" i="10" s="1"/>
  <c r="AO51" i="10" s="1"/>
  <c r="W51" i="12"/>
  <c r="X51" i="12" s="1"/>
  <c r="Y51" i="12" s="1"/>
  <c r="W51" i="10"/>
  <c r="X51" i="10" s="1"/>
  <c r="Y51" i="10" s="1"/>
  <c r="AE150" i="12"/>
  <c r="AG150" i="12" s="1"/>
  <c r="AH150" i="12" s="1"/>
  <c r="AE150" i="10"/>
  <c r="AG150" i="10" s="1"/>
  <c r="AH150" i="10" s="1"/>
  <c r="AE150" i="3"/>
  <c r="BH50" i="10"/>
  <c r="BI50" i="10" s="1"/>
  <c r="BJ50" i="10" s="1"/>
  <c r="AB50" i="10"/>
  <c r="AC50" i="10" s="1"/>
  <c r="AH50" i="10" s="1"/>
  <c r="P151" i="10" s="1"/>
  <c r="AD50" i="10"/>
  <c r="E149" i="3"/>
  <c r="F149" i="3" s="1"/>
  <c r="C51" i="12"/>
  <c r="AI51" i="12"/>
  <c r="AY51" i="12"/>
  <c r="K51" i="12"/>
  <c r="AA51" i="12"/>
  <c r="BG51" i="12"/>
  <c r="AQ51" i="12"/>
  <c r="S51" i="12"/>
  <c r="D50" i="12"/>
  <c r="E50" i="12" s="1"/>
  <c r="F50" i="12" s="1"/>
  <c r="AB50" i="12"/>
  <c r="AC50" i="12" s="1"/>
  <c r="AH50" i="12" s="1"/>
  <c r="P151" i="12" s="1"/>
  <c r="Y149" i="3"/>
  <c r="Z149" i="3" s="1"/>
  <c r="AA150" i="12"/>
  <c r="AC150" i="12" s="1"/>
  <c r="AD150" i="12" s="1"/>
  <c r="AA150" i="10"/>
  <c r="AC150" i="10" s="1"/>
  <c r="AD150" i="10" s="1"/>
  <c r="AA150" i="3"/>
  <c r="G51" i="12"/>
  <c r="H51" i="12" s="1"/>
  <c r="I51" i="12" s="1"/>
  <c r="G51" i="10"/>
  <c r="H51" i="10" s="1"/>
  <c r="I51" i="10" s="1"/>
  <c r="BK51" i="12"/>
  <c r="BL51" i="12" s="1"/>
  <c r="BM51" i="12" s="1"/>
  <c r="BK51" i="10"/>
  <c r="BL51" i="10" s="1"/>
  <c r="BM51" i="10" s="1"/>
  <c r="A52" i="12"/>
  <c r="A52" i="10"/>
  <c r="O150" i="12"/>
  <c r="Q150" i="12" s="1"/>
  <c r="R150" i="12" s="1"/>
  <c r="O150" i="10"/>
  <c r="Q150" i="10" s="1"/>
  <c r="R150" i="10" s="1"/>
  <c r="O150" i="3"/>
  <c r="G150" i="12"/>
  <c r="I150" i="12" s="1"/>
  <c r="J150" i="12" s="1"/>
  <c r="G150" i="10"/>
  <c r="I150" i="10" s="1"/>
  <c r="J150" i="10" s="1"/>
  <c r="G150" i="3"/>
  <c r="T50" i="10"/>
  <c r="U50" i="10" s="1"/>
  <c r="Z50" i="10"/>
  <c r="L151" i="10" s="1"/>
  <c r="V50" i="10"/>
  <c r="AZ50" i="10"/>
  <c r="BA50" i="10" s="1"/>
  <c r="BF50" i="10" s="1"/>
  <c r="AB151" i="10" s="1"/>
  <c r="I149" i="3"/>
  <c r="J149" i="3" s="1"/>
  <c r="U149" i="3"/>
  <c r="V149" i="3" s="1"/>
  <c r="AG149" i="3"/>
  <c r="AH149" i="3" s="1"/>
  <c r="BH50" i="12"/>
  <c r="BI50" i="12" s="1"/>
  <c r="BN50" i="12" s="1"/>
  <c r="AF151" i="12" s="1"/>
  <c r="AR50" i="12"/>
  <c r="AS50" i="12" s="1"/>
  <c r="AT50" i="12" s="1"/>
  <c r="AX50" i="12"/>
  <c r="X151" i="12" s="1"/>
  <c r="AC149" i="3"/>
  <c r="AD149" i="3" s="1"/>
  <c r="O51" i="12"/>
  <c r="P51" i="12" s="1"/>
  <c r="Q51" i="12" s="1"/>
  <c r="O51" i="10"/>
  <c r="P51" i="10" s="1"/>
  <c r="Q51" i="10" s="1"/>
  <c r="BC51" i="12"/>
  <c r="BD51" i="12" s="1"/>
  <c r="BE51" i="12" s="1"/>
  <c r="BC51" i="10"/>
  <c r="BD51" i="10" s="1"/>
  <c r="BE51" i="10" s="1"/>
  <c r="L50" i="10"/>
  <c r="M50" i="10" s="1"/>
  <c r="N50" i="10" s="1"/>
  <c r="D50" i="10"/>
  <c r="E50" i="10" s="1"/>
  <c r="J50" i="10" s="1"/>
  <c r="D151" i="10" s="1"/>
  <c r="AD49" i="12"/>
  <c r="T50" i="12"/>
  <c r="U50" i="12" s="1"/>
  <c r="V50" i="12" s="1"/>
  <c r="AJ50" i="12"/>
  <c r="AK50" i="12" s="1"/>
  <c r="AP50" i="12" s="1"/>
  <c r="T151" i="12" s="1"/>
  <c r="M149" i="3"/>
  <c r="N149" i="3" s="1"/>
  <c r="BJ49" i="3"/>
  <c r="AH49" i="3"/>
  <c r="P150" i="3" s="1"/>
  <c r="V49" i="3"/>
  <c r="AT49" i="3"/>
  <c r="N49" i="3"/>
  <c r="BB49" i="3"/>
  <c r="J49" i="3"/>
  <c r="D150" i="3" s="1"/>
  <c r="AL49" i="3"/>
  <c r="AM63" i="2"/>
  <c r="AN63" i="2" s="1"/>
  <c r="AY63" i="2"/>
  <c r="AZ63" i="2" s="1"/>
  <c r="BF49" i="3"/>
  <c r="AB150" i="3" s="1"/>
  <c r="R49" i="3"/>
  <c r="H150" i="3" s="1"/>
  <c r="BE63" i="2"/>
  <c r="BF63" i="2" s="1"/>
  <c r="U63" i="2"/>
  <c r="V63" i="2" s="1"/>
  <c r="L50" i="3"/>
  <c r="M50" i="3" s="1"/>
  <c r="AJ50" i="3"/>
  <c r="AK50" i="3" s="1"/>
  <c r="AX49" i="3"/>
  <c r="X150" i="3" s="1"/>
  <c r="F49" i="3"/>
  <c r="G51" i="3"/>
  <c r="H51" i="3" s="1"/>
  <c r="I51" i="3" s="1"/>
  <c r="K64" i="2"/>
  <c r="M64" i="2"/>
  <c r="N64" i="2" s="1"/>
  <c r="BC64" i="2"/>
  <c r="BK51" i="3"/>
  <c r="BL51" i="3" s="1"/>
  <c r="BM51" i="3" s="1"/>
  <c r="BA64" i="2"/>
  <c r="A66" i="2"/>
  <c r="A52" i="3"/>
  <c r="H65" i="2"/>
  <c r="I65" i="2"/>
  <c r="G65" i="2"/>
  <c r="F65" i="2"/>
  <c r="C65" i="2"/>
  <c r="B65" i="2"/>
  <c r="D65" i="2"/>
  <c r="E65" i="2"/>
  <c r="T50" i="3"/>
  <c r="U50" i="3" s="1"/>
  <c r="O51" i="3"/>
  <c r="P51" i="3" s="1"/>
  <c r="Q51" i="3" s="1"/>
  <c r="Q64" i="2"/>
  <c r="S64" i="2"/>
  <c r="BC51" i="3"/>
  <c r="BD51" i="3" s="1"/>
  <c r="BE51" i="3" s="1"/>
  <c r="AU64" i="2"/>
  <c r="AW64" i="2"/>
  <c r="BN49" i="3"/>
  <c r="AF150" i="3" s="1"/>
  <c r="D50" i="3"/>
  <c r="E50" i="3" s="1"/>
  <c r="E45" i="22" s="1"/>
  <c r="AR50" i="3"/>
  <c r="AS50" i="3" s="1"/>
  <c r="AD49" i="3"/>
  <c r="AP49" i="3"/>
  <c r="T150" i="3" s="1"/>
  <c r="AE51" i="3"/>
  <c r="AF51" i="3" s="1"/>
  <c r="AG51" i="3" s="1"/>
  <c r="AC64" i="2"/>
  <c r="AE64" i="2"/>
  <c r="AU51" i="3"/>
  <c r="AV51" i="3" s="1"/>
  <c r="AW51" i="3" s="1"/>
  <c r="AO64" i="2"/>
  <c r="AQ64" i="2"/>
  <c r="AB50" i="3"/>
  <c r="AC50" i="3" s="1"/>
  <c r="L63" i="2"/>
  <c r="O63" i="2"/>
  <c r="P63" i="2" s="1"/>
  <c r="AA63" i="2"/>
  <c r="AB63" i="2" s="1"/>
  <c r="AZ50" i="3"/>
  <c r="BA50" i="3" s="1"/>
  <c r="BH50" i="3"/>
  <c r="BI50" i="3" s="1"/>
  <c r="AG63" i="2"/>
  <c r="AH63" i="2" s="1"/>
  <c r="Z49" i="3"/>
  <c r="L150" i="3" s="1"/>
  <c r="AS63" i="2"/>
  <c r="AT63" i="2" s="1"/>
  <c r="AM51" i="3"/>
  <c r="AN51" i="3" s="1"/>
  <c r="AO51" i="3" s="1"/>
  <c r="AI64" i="2"/>
  <c r="AK64" i="2"/>
  <c r="W51" i="3"/>
  <c r="X51" i="3" s="1"/>
  <c r="Y51" i="3" s="1"/>
  <c r="W64" i="2"/>
  <c r="Y64" i="2"/>
  <c r="AI51" i="3"/>
  <c r="K51" i="3"/>
  <c r="AA51" i="3"/>
  <c r="C51" i="3"/>
  <c r="AY51" i="3"/>
  <c r="AQ51" i="3"/>
  <c r="BG51" i="3"/>
  <c r="S51" i="3"/>
  <c r="A59" i="19" l="1"/>
  <c r="J58" i="19"/>
  <c r="K58" i="19"/>
  <c r="H58" i="19"/>
  <c r="L58" i="19"/>
  <c r="I58" i="19"/>
  <c r="D58" i="19"/>
  <c r="E58" i="19"/>
  <c r="B58" i="19"/>
  <c r="F58" i="19"/>
  <c r="C58" i="19"/>
  <c r="AL50" i="12"/>
  <c r="J50" i="12"/>
  <c r="D151" i="12" s="1"/>
  <c r="R50" i="12"/>
  <c r="H151" i="12" s="1"/>
  <c r="AX50" i="10"/>
  <c r="X151" i="10" s="1"/>
  <c r="U150" i="12"/>
  <c r="V150" i="12" s="1"/>
  <c r="BJ50" i="12"/>
  <c r="O52" i="12"/>
  <c r="P52" i="12" s="1"/>
  <c r="Q52" i="12" s="1"/>
  <c r="O52" i="10"/>
  <c r="P52" i="10" s="1"/>
  <c r="Q52" i="10" s="1"/>
  <c r="BC52" i="12"/>
  <c r="BD52" i="12" s="1"/>
  <c r="BE52" i="12" s="1"/>
  <c r="BC52" i="10"/>
  <c r="BD52" i="10" s="1"/>
  <c r="BE52" i="10" s="1"/>
  <c r="Z50" i="12"/>
  <c r="L151" i="12" s="1"/>
  <c r="F50" i="10"/>
  <c r="I150" i="3"/>
  <c r="J150" i="3" s="1"/>
  <c r="AC150" i="3"/>
  <c r="AD150" i="3" s="1"/>
  <c r="AD50" i="12"/>
  <c r="AB51" i="12"/>
  <c r="AC51" i="12" s="1"/>
  <c r="AD51" i="12" s="1"/>
  <c r="D51" i="12"/>
  <c r="E51" i="12" s="1"/>
  <c r="F51" i="12" s="1"/>
  <c r="BN50" i="10"/>
  <c r="AF151" i="10" s="1"/>
  <c r="M150" i="3"/>
  <c r="N150" i="3" s="1"/>
  <c r="BB50" i="12"/>
  <c r="D51" i="10"/>
  <c r="E51" i="10" s="1"/>
  <c r="J51" i="10" s="1"/>
  <c r="D152" i="10" s="1"/>
  <c r="AJ51" i="10"/>
  <c r="AK51" i="10" s="1"/>
  <c r="AP51" i="10" s="1"/>
  <c r="T152" i="10" s="1"/>
  <c r="AP50" i="10"/>
  <c r="T151" i="10" s="1"/>
  <c r="AE52" i="12"/>
  <c r="AF52" i="12" s="1"/>
  <c r="AG52" i="12" s="1"/>
  <c r="AE52" i="10"/>
  <c r="AF52" i="10" s="1"/>
  <c r="AG52" i="10" s="1"/>
  <c r="AM52" i="12"/>
  <c r="AN52" i="12" s="1"/>
  <c r="AO52" i="12" s="1"/>
  <c r="AM52" i="10"/>
  <c r="AN52" i="10" s="1"/>
  <c r="AO52" i="10" s="1"/>
  <c r="G151" i="12"/>
  <c r="G151" i="10"/>
  <c r="G151" i="3"/>
  <c r="AA151" i="12"/>
  <c r="AC151" i="12" s="1"/>
  <c r="AD151" i="12" s="1"/>
  <c r="AA151" i="10"/>
  <c r="AC151" i="10" s="1"/>
  <c r="AD151" i="10" s="1"/>
  <c r="AA151" i="3"/>
  <c r="T51" i="12"/>
  <c r="U51" i="12" s="1"/>
  <c r="V51" i="12" s="1"/>
  <c r="L51" i="12"/>
  <c r="M51" i="12" s="1"/>
  <c r="R51" i="12" s="1"/>
  <c r="H152" i="12" s="1"/>
  <c r="Y150" i="3"/>
  <c r="Z150" i="3" s="1"/>
  <c r="AR51" i="10"/>
  <c r="AS51" i="10" s="1"/>
  <c r="AX51" i="10" s="1"/>
  <c r="X152" i="10" s="1"/>
  <c r="L51" i="10"/>
  <c r="M51" i="10" s="1"/>
  <c r="R51" i="10" s="1"/>
  <c r="H152" i="10" s="1"/>
  <c r="U150" i="3"/>
  <c r="V150" i="3" s="1"/>
  <c r="K151" i="12"/>
  <c r="K151" i="10"/>
  <c r="M151" i="10" s="1"/>
  <c r="N151" i="10" s="1"/>
  <c r="K151" i="3"/>
  <c r="W52" i="12"/>
  <c r="X52" i="12" s="1"/>
  <c r="Y52" i="12" s="1"/>
  <c r="W52" i="10"/>
  <c r="X52" i="10" s="1"/>
  <c r="Y52" i="10" s="1"/>
  <c r="AU52" i="12"/>
  <c r="AV52" i="12" s="1"/>
  <c r="AW52" i="12" s="1"/>
  <c r="AU52" i="10"/>
  <c r="AV52" i="10" s="1"/>
  <c r="AW52" i="10" s="1"/>
  <c r="A53" i="12"/>
  <c r="A53" i="10"/>
  <c r="AE151" i="12"/>
  <c r="AG151" i="12" s="1"/>
  <c r="AH151" i="12" s="1"/>
  <c r="AE151" i="10"/>
  <c r="AG151" i="10" s="1"/>
  <c r="AH151" i="10" s="1"/>
  <c r="AE151" i="3"/>
  <c r="S151" i="12"/>
  <c r="U151" i="12" s="1"/>
  <c r="V151" i="12" s="1"/>
  <c r="S151" i="10"/>
  <c r="U151" i="10" s="1"/>
  <c r="V151" i="10" s="1"/>
  <c r="S151" i="3"/>
  <c r="R50" i="10"/>
  <c r="H151" i="10" s="1"/>
  <c r="BB50" i="10"/>
  <c r="AI52" i="10"/>
  <c r="BG52" i="10"/>
  <c r="K52" i="10"/>
  <c r="S52" i="10"/>
  <c r="AY52" i="10"/>
  <c r="AQ52" i="10"/>
  <c r="C52" i="10"/>
  <c r="AA52" i="10"/>
  <c r="AR51" i="12"/>
  <c r="AS51" i="12" s="1"/>
  <c r="AT51" i="12" s="1"/>
  <c r="AZ51" i="12"/>
  <c r="BA51" i="12" s="1"/>
  <c r="BB51" i="12" s="1"/>
  <c r="AG150" i="3"/>
  <c r="AH150" i="3" s="1"/>
  <c r="AB51" i="10"/>
  <c r="AC51" i="10" s="1"/>
  <c r="AD51" i="10" s="1"/>
  <c r="BH51" i="10"/>
  <c r="BI51" i="10" s="1"/>
  <c r="BN51" i="10" s="1"/>
  <c r="AF152" i="10" s="1"/>
  <c r="E150" i="3"/>
  <c r="F150" i="3" s="1"/>
  <c r="W151" i="12"/>
  <c r="Y151" i="12" s="1"/>
  <c r="Z151" i="12" s="1"/>
  <c r="W151" i="10"/>
  <c r="Y151" i="10" s="1"/>
  <c r="Z151" i="10" s="1"/>
  <c r="W151" i="3"/>
  <c r="O151" i="12"/>
  <c r="Q151" i="12" s="1"/>
  <c r="R151" i="12" s="1"/>
  <c r="O151" i="10"/>
  <c r="Q151" i="10" s="1"/>
  <c r="R151" i="10" s="1"/>
  <c r="O151" i="3"/>
  <c r="C151" i="12"/>
  <c r="E151" i="12" s="1"/>
  <c r="F151" i="12" s="1"/>
  <c r="C151" i="10"/>
  <c r="E151" i="10" s="1"/>
  <c r="F151" i="10" s="1"/>
  <c r="C151" i="3"/>
  <c r="BG63" i="2"/>
  <c r="G52" i="12"/>
  <c r="H52" i="12" s="1"/>
  <c r="I52" i="12" s="1"/>
  <c r="G52" i="10"/>
  <c r="H52" i="10" s="1"/>
  <c r="I52" i="10" s="1"/>
  <c r="BK52" i="12"/>
  <c r="BL52" i="12" s="1"/>
  <c r="BM52" i="12" s="1"/>
  <c r="BK52" i="10"/>
  <c r="BL52" i="10" s="1"/>
  <c r="BM52" i="10" s="1"/>
  <c r="Q150" i="3"/>
  <c r="R150" i="3" s="1"/>
  <c r="AA52" i="12"/>
  <c r="C52" i="12"/>
  <c r="K52" i="12"/>
  <c r="AQ52" i="12"/>
  <c r="AI52" i="12"/>
  <c r="AY52" i="12"/>
  <c r="S52" i="12"/>
  <c r="BG52" i="12"/>
  <c r="BH51" i="12"/>
  <c r="BI51" i="12" s="1"/>
  <c r="BJ51" i="12" s="1"/>
  <c r="AJ51" i="12"/>
  <c r="AK51" i="12" s="1"/>
  <c r="AL51" i="12" s="1"/>
  <c r="AZ51" i="10"/>
  <c r="BA51" i="10" s="1"/>
  <c r="BB51" i="10" s="1"/>
  <c r="T51" i="10"/>
  <c r="U51" i="10" s="1"/>
  <c r="V51" i="10" s="1"/>
  <c r="BN50" i="3"/>
  <c r="AF151" i="3" s="1"/>
  <c r="Z50" i="3"/>
  <c r="L151" i="3" s="1"/>
  <c r="N50" i="3"/>
  <c r="F50" i="3"/>
  <c r="BF50" i="3"/>
  <c r="AB151" i="3" s="1"/>
  <c r="AL50" i="3"/>
  <c r="AD50" i="3"/>
  <c r="AT50" i="3"/>
  <c r="AA64" i="2"/>
  <c r="AB64" i="2" s="1"/>
  <c r="AX50" i="3"/>
  <c r="X151" i="3" s="1"/>
  <c r="BB50" i="3"/>
  <c r="BE64" i="2"/>
  <c r="BF64" i="2" s="1"/>
  <c r="BH51" i="3"/>
  <c r="BI51" i="3" s="1"/>
  <c r="G52" i="3"/>
  <c r="H52" i="3" s="1"/>
  <c r="I52" i="3" s="1"/>
  <c r="K65" i="2"/>
  <c r="M65" i="2"/>
  <c r="N65" i="2" s="1"/>
  <c r="BC65" i="2"/>
  <c r="BK52" i="3"/>
  <c r="BL52" i="3" s="1"/>
  <c r="BM52" i="3" s="1"/>
  <c r="BA65" i="2"/>
  <c r="L64" i="2"/>
  <c r="O64" i="2"/>
  <c r="P64" i="2" s="1"/>
  <c r="AB51" i="3"/>
  <c r="AC51" i="3" s="1"/>
  <c r="AR51" i="3"/>
  <c r="AS51" i="3" s="1"/>
  <c r="L51" i="3"/>
  <c r="M51" i="3" s="1"/>
  <c r="AH50" i="3"/>
  <c r="P151" i="3" s="1"/>
  <c r="AY64" i="2"/>
  <c r="AZ64" i="2" s="1"/>
  <c r="V50" i="3"/>
  <c r="O52" i="3"/>
  <c r="P52" i="3" s="1"/>
  <c r="Q52" i="3" s="1"/>
  <c r="Q65" i="2"/>
  <c r="S65" i="2"/>
  <c r="BC52" i="3"/>
  <c r="BD52" i="3" s="1"/>
  <c r="BE52" i="3" s="1"/>
  <c r="AU65" i="2"/>
  <c r="AW65" i="2"/>
  <c r="AP50" i="3"/>
  <c r="T151" i="3" s="1"/>
  <c r="AZ51" i="3"/>
  <c r="BA51" i="3" s="1"/>
  <c r="AJ51" i="3"/>
  <c r="AK51" i="3" s="1"/>
  <c r="AL51" i="3" s="1"/>
  <c r="J50" i="3"/>
  <c r="D151" i="3" s="1"/>
  <c r="AE52" i="3"/>
  <c r="AF52" i="3" s="1"/>
  <c r="AG52" i="3" s="1"/>
  <c r="AC65" i="2"/>
  <c r="AE65" i="2"/>
  <c r="AM52" i="3"/>
  <c r="AN52" i="3" s="1"/>
  <c r="AO52" i="3" s="1"/>
  <c r="AI65" i="2"/>
  <c r="AK65" i="2"/>
  <c r="S52" i="3"/>
  <c r="BG52" i="3"/>
  <c r="AQ52" i="3"/>
  <c r="AY52" i="3"/>
  <c r="AA52" i="3"/>
  <c r="C52" i="3"/>
  <c r="AI52" i="3"/>
  <c r="K52" i="3"/>
  <c r="BJ50" i="3"/>
  <c r="T51" i="3"/>
  <c r="U51" i="3" s="1"/>
  <c r="D51" i="3"/>
  <c r="E51" i="3" s="1"/>
  <c r="E46" i="22" s="1"/>
  <c r="AM64" i="2"/>
  <c r="AN64" i="2" s="1"/>
  <c r="AS64" i="2"/>
  <c r="AT64" i="2" s="1"/>
  <c r="AG64" i="2"/>
  <c r="AH64" i="2" s="1"/>
  <c r="U64" i="2"/>
  <c r="V64" i="2" s="1"/>
  <c r="W52" i="3"/>
  <c r="X52" i="3" s="1"/>
  <c r="Y52" i="3" s="1"/>
  <c r="W65" i="2"/>
  <c r="Y65" i="2"/>
  <c r="AU52" i="3"/>
  <c r="AV52" i="3" s="1"/>
  <c r="AW52" i="3" s="1"/>
  <c r="AO65" i="2"/>
  <c r="AQ65" i="2"/>
  <c r="A67" i="2"/>
  <c r="A53" i="3"/>
  <c r="G66" i="2"/>
  <c r="H66" i="2"/>
  <c r="I66" i="2"/>
  <c r="F66" i="2"/>
  <c r="D66" i="2"/>
  <c r="E66" i="2"/>
  <c r="C66" i="2"/>
  <c r="B66" i="2"/>
  <c r="R50" i="3"/>
  <c r="H151" i="3" s="1"/>
  <c r="BN51" i="12" l="1"/>
  <c r="AF152" i="12" s="1"/>
  <c r="AL51" i="10"/>
  <c r="A60" i="19"/>
  <c r="I59" i="19"/>
  <c r="J59" i="19"/>
  <c r="K59" i="19"/>
  <c r="H59" i="19"/>
  <c r="L59" i="19"/>
  <c r="C59" i="19"/>
  <c r="D59" i="19"/>
  <c r="E59" i="19"/>
  <c r="B59" i="19"/>
  <c r="F59" i="19"/>
  <c r="BJ51" i="10"/>
  <c r="J51" i="12"/>
  <c r="D152" i="12" s="1"/>
  <c r="AG65" i="2"/>
  <c r="AH65" i="2" s="1"/>
  <c r="AY65" i="2"/>
  <c r="AZ65" i="2" s="1"/>
  <c r="Z51" i="10"/>
  <c r="L152" i="10" s="1"/>
  <c r="U151" i="3"/>
  <c r="V151" i="3" s="1"/>
  <c r="Y151" i="3"/>
  <c r="Z151" i="3" s="1"/>
  <c r="M151" i="3"/>
  <c r="N151" i="3" s="1"/>
  <c r="Z51" i="12"/>
  <c r="L152" i="12" s="1"/>
  <c r="I151" i="12"/>
  <c r="J151" i="12" s="1"/>
  <c r="AH51" i="12"/>
  <c r="P152" i="12" s="1"/>
  <c r="Q151" i="3"/>
  <c r="R151" i="3" s="1"/>
  <c r="AG151" i="3"/>
  <c r="AH151" i="3" s="1"/>
  <c r="AP51" i="12"/>
  <c r="T152" i="12" s="1"/>
  <c r="M151" i="12"/>
  <c r="N151" i="12" s="1"/>
  <c r="N51" i="12"/>
  <c r="W53" i="12"/>
  <c r="X53" i="12" s="1"/>
  <c r="Y53" i="12" s="1"/>
  <c r="W53" i="10"/>
  <c r="X53" i="10" s="1"/>
  <c r="Y53" i="10" s="1"/>
  <c r="AU53" i="12"/>
  <c r="AV53" i="12" s="1"/>
  <c r="AW53" i="12" s="1"/>
  <c r="AU53" i="10"/>
  <c r="AV53" i="10" s="1"/>
  <c r="AW53" i="10" s="1"/>
  <c r="S152" i="12"/>
  <c r="S152" i="10"/>
  <c r="U152" i="10" s="1"/>
  <c r="V152" i="10" s="1"/>
  <c r="S152" i="3"/>
  <c r="O153" i="12"/>
  <c r="O153" i="10"/>
  <c r="O153" i="3"/>
  <c r="AA153" i="12"/>
  <c r="AA153" i="10"/>
  <c r="AA153" i="3"/>
  <c r="AE152" i="12"/>
  <c r="AG152" i="12" s="1"/>
  <c r="AH152" i="12" s="1"/>
  <c r="AE152" i="10"/>
  <c r="AG152" i="10" s="1"/>
  <c r="AH152" i="10" s="1"/>
  <c r="AE152" i="3"/>
  <c r="BF51" i="10"/>
  <c r="AB152" i="10" s="1"/>
  <c r="BH52" i="12"/>
  <c r="BI52" i="12" s="1"/>
  <c r="BJ52" i="12" s="1"/>
  <c r="AR52" i="12"/>
  <c r="AS52" i="12" s="1"/>
  <c r="AX52" i="12" s="1"/>
  <c r="X153" i="12" s="1"/>
  <c r="AH51" i="10"/>
  <c r="P152" i="10" s="1"/>
  <c r="BF51" i="12"/>
  <c r="AB152" i="12" s="1"/>
  <c r="AZ52" i="10"/>
  <c r="BA52" i="10" s="1"/>
  <c r="BF52" i="10" s="1"/>
  <c r="AB153" i="10" s="1"/>
  <c r="AJ52" i="10"/>
  <c r="AK52" i="10" s="1"/>
  <c r="AP52" i="10" s="1"/>
  <c r="T153" i="10" s="1"/>
  <c r="N51" i="10"/>
  <c r="I151" i="3"/>
  <c r="J151" i="3" s="1"/>
  <c r="F51" i="10"/>
  <c r="G53" i="12"/>
  <c r="H53" i="12" s="1"/>
  <c r="I53" i="12" s="1"/>
  <c r="G53" i="10"/>
  <c r="H53" i="10" s="1"/>
  <c r="I53" i="10" s="1"/>
  <c r="G152" i="12"/>
  <c r="I152" i="12" s="1"/>
  <c r="J152" i="12" s="1"/>
  <c r="G152" i="10"/>
  <c r="I152" i="10" s="1"/>
  <c r="J152" i="10" s="1"/>
  <c r="G152" i="3"/>
  <c r="T52" i="12"/>
  <c r="U52" i="12" s="1"/>
  <c r="V52" i="12" s="1"/>
  <c r="L52" i="12"/>
  <c r="M52" i="12" s="1"/>
  <c r="R52" i="12" s="1"/>
  <c r="H153" i="12" s="1"/>
  <c r="AB52" i="10"/>
  <c r="AC52" i="10" s="1"/>
  <c r="AH52" i="10" s="1"/>
  <c r="P153" i="10" s="1"/>
  <c r="T52" i="10"/>
  <c r="U52" i="10" s="1"/>
  <c r="V52" i="10" s="1"/>
  <c r="S53" i="10"/>
  <c r="AQ53" i="10"/>
  <c r="C53" i="10"/>
  <c r="AY53" i="10"/>
  <c r="AI53" i="10"/>
  <c r="BG53" i="10"/>
  <c r="K53" i="10"/>
  <c r="AA53" i="10"/>
  <c r="AC151" i="3"/>
  <c r="AD151" i="3" s="1"/>
  <c r="I151" i="10"/>
  <c r="J151" i="10" s="1"/>
  <c r="AM53" i="12"/>
  <c r="AN53" i="12" s="1"/>
  <c r="AO53" i="12" s="1"/>
  <c r="AM53" i="10"/>
  <c r="AN53" i="10" s="1"/>
  <c r="AO53" i="10" s="1"/>
  <c r="O53" i="12"/>
  <c r="P53" i="12" s="1"/>
  <c r="Q53" i="12" s="1"/>
  <c r="O53" i="10"/>
  <c r="P53" i="10" s="1"/>
  <c r="Q53" i="10" s="1"/>
  <c r="A54" i="12"/>
  <c r="A54" i="10"/>
  <c r="O152" i="12"/>
  <c r="Q152" i="12" s="1"/>
  <c r="R152" i="12" s="1"/>
  <c r="O152" i="10"/>
  <c r="O152" i="3"/>
  <c r="AA152" i="12"/>
  <c r="AC152" i="12" s="1"/>
  <c r="AD152" i="12" s="1"/>
  <c r="AA152" i="10"/>
  <c r="AC152" i="10" s="1"/>
  <c r="AD152" i="10" s="1"/>
  <c r="AA152" i="3"/>
  <c r="AZ52" i="12"/>
  <c r="BA52" i="12" s="1"/>
  <c r="BF52" i="12" s="1"/>
  <c r="AB153" i="12" s="1"/>
  <c r="D52" i="12"/>
  <c r="E52" i="12" s="1"/>
  <c r="J52" i="12" s="1"/>
  <c r="D153" i="12" s="1"/>
  <c r="E151" i="3"/>
  <c r="F151" i="3" s="1"/>
  <c r="AX51" i="12"/>
  <c r="X152" i="12" s="1"/>
  <c r="D52" i="10"/>
  <c r="E52" i="10" s="1"/>
  <c r="J52" i="10" s="1"/>
  <c r="D153" i="10" s="1"/>
  <c r="L52" i="10"/>
  <c r="M52" i="10" s="1"/>
  <c r="N52" i="10" s="1"/>
  <c r="AY53" i="12"/>
  <c r="K53" i="12"/>
  <c r="AQ53" i="12"/>
  <c r="C53" i="12"/>
  <c r="AI53" i="12"/>
  <c r="AA53" i="12"/>
  <c r="BG53" i="12"/>
  <c r="S53" i="12"/>
  <c r="AT51" i="10"/>
  <c r="BK53" i="12"/>
  <c r="BL53" i="12" s="1"/>
  <c r="BM53" i="12" s="1"/>
  <c r="BK53" i="10"/>
  <c r="BL53" i="10" s="1"/>
  <c r="BM53" i="10" s="1"/>
  <c r="AE53" i="12"/>
  <c r="AF53" i="12" s="1"/>
  <c r="AG53" i="12" s="1"/>
  <c r="AE53" i="10"/>
  <c r="AF53" i="10" s="1"/>
  <c r="AG53" i="10" s="1"/>
  <c r="BC53" i="12"/>
  <c r="BD53" i="12" s="1"/>
  <c r="BE53" i="12" s="1"/>
  <c r="BC53" i="10"/>
  <c r="BD53" i="10" s="1"/>
  <c r="BE53" i="10" s="1"/>
  <c r="W152" i="12"/>
  <c r="W152" i="10"/>
  <c r="Y152" i="10" s="1"/>
  <c r="Z152" i="10" s="1"/>
  <c r="W152" i="3"/>
  <c r="C152" i="12"/>
  <c r="E152" i="12" s="1"/>
  <c r="F152" i="12" s="1"/>
  <c r="C152" i="10"/>
  <c r="E152" i="10" s="1"/>
  <c r="F152" i="10" s="1"/>
  <c r="C152" i="3"/>
  <c r="K152" i="12"/>
  <c r="M152" i="12" s="1"/>
  <c r="N152" i="12" s="1"/>
  <c r="K152" i="10"/>
  <c r="M152" i="10" s="1"/>
  <c r="N152" i="10" s="1"/>
  <c r="K152" i="3"/>
  <c r="AJ52" i="12"/>
  <c r="AK52" i="12" s="1"/>
  <c r="AL52" i="12" s="1"/>
  <c r="AP52" i="12"/>
  <c r="T153" i="12" s="1"/>
  <c r="AB52" i="12"/>
  <c r="AC52" i="12" s="1"/>
  <c r="AD52" i="12" s="1"/>
  <c r="AR52" i="10"/>
  <c r="AS52" i="10" s="1"/>
  <c r="AX52" i="10" s="1"/>
  <c r="X153" i="10" s="1"/>
  <c r="BH52" i="10"/>
  <c r="BI52" i="10" s="1"/>
  <c r="BN52" i="10" s="1"/>
  <c r="AF153" i="10" s="1"/>
  <c r="R51" i="3"/>
  <c r="H152" i="3" s="1"/>
  <c r="F51" i="3"/>
  <c r="BF51" i="3"/>
  <c r="AB152" i="3" s="1"/>
  <c r="AX51" i="3"/>
  <c r="X152" i="3" s="1"/>
  <c r="Z51" i="3"/>
  <c r="L152" i="3" s="1"/>
  <c r="AH51" i="3"/>
  <c r="P152" i="3" s="1"/>
  <c r="AP51" i="3"/>
  <c r="T152" i="3" s="1"/>
  <c r="BJ51" i="3"/>
  <c r="BG64" i="2"/>
  <c r="AT51" i="3"/>
  <c r="AM65" i="2"/>
  <c r="AN65" i="2" s="1"/>
  <c r="BE65" i="2"/>
  <c r="BF65" i="2" s="1"/>
  <c r="AA65" i="2"/>
  <c r="AB65" i="2" s="1"/>
  <c r="AE53" i="3"/>
  <c r="AF53" i="3" s="1"/>
  <c r="AG53" i="3" s="1"/>
  <c r="AC66" i="2"/>
  <c r="AE66" i="2"/>
  <c r="BC53" i="3"/>
  <c r="BD53" i="3" s="1"/>
  <c r="BE53" i="3" s="1"/>
  <c r="AU66" i="2"/>
  <c r="AW66" i="2"/>
  <c r="AS65" i="2"/>
  <c r="AT65" i="2" s="1"/>
  <c r="J51" i="3"/>
  <c r="D152" i="3" s="1"/>
  <c r="L52" i="3"/>
  <c r="M52" i="3" s="1"/>
  <c r="AZ52" i="3"/>
  <c r="BA52" i="3" s="1"/>
  <c r="BG65" i="2"/>
  <c r="L65" i="2"/>
  <c r="O65" i="2"/>
  <c r="P65" i="2" s="1"/>
  <c r="AU53" i="3"/>
  <c r="AV53" i="3" s="1"/>
  <c r="AW53" i="3" s="1"/>
  <c r="AO66" i="2"/>
  <c r="AQ66" i="2"/>
  <c r="AJ52" i="3"/>
  <c r="AK52" i="3" s="1"/>
  <c r="AR52" i="3"/>
  <c r="AS52" i="3" s="1"/>
  <c r="W53" i="3"/>
  <c r="X53" i="3" s="1"/>
  <c r="Y53" i="3" s="1"/>
  <c r="W66" i="2"/>
  <c r="Y66" i="2"/>
  <c r="G53" i="3"/>
  <c r="H53" i="3" s="1"/>
  <c r="I53" i="3" s="1"/>
  <c r="K66" i="2"/>
  <c r="M66" i="2"/>
  <c r="N66" i="2" s="1"/>
  <c r="V51" i="3"/>
  <c r="D52" i="3"/>
  <c r="E52" i="3" s="1"/>
  <c r="E47" i="22" s="1"/>
  <c r="BH52" i="3"/>
  <c r="BI52" i="3" s="1"/>
  <c r="BB51" i="3"/>
  <c r="N51" i="3"/>
  <c r="AM53" i="3"/>
  <c r="AN53" i="3" s="1"/>
  <c r="AO53" i="3" s="1"/>
  <c r="AI66" i="2"/>
  <c r="AK66" i="2"/>
  <c r="AA53" i="3"/>
  <c r="C53" i="3"/>
  <c r="AY53" i="3"/>
  <c r="AQ53" i="3"/>
  <c r="BG53" i="3"/>
  <c r="S53" i="3"/>
  <c r="AI53" i="3"/>
  <c r="K53" i="3"/>
  <c r="O53" i="3"/>
  <c r="P53" i="3" s="1"/>
  <c r="Q53" i="3" s="1"/>
  <c r="Q66" i="2"/>
  <c r="S66" i="2"/>
  <c r="BC66" i="2"/>
  <c r="BK53" i="3"/>
  <c r="BL53" i="3" s="1"/>
  <c r="BM53" i="3" s="1"/>
  <c r="BA66" i="2"/>
  <c r="A68" i="2"/>
  <c r="A54" i="3"/>
  <c r="H67" i="2"/>
  <c r="I67" i="2"/>
  <c r="G67" i="2"/>
  <c r="B67" i="2"/>
  <c r="D67" i="2"/>
  <c r="E67" i="2"/>
  <c r="F67" i="2"/>
  <c r="C67" i="2"/>
  <c r="AB52" i="3"/>
  <c r="AC52" i="3" s="1"/>
  <c r="T52" i="3"/>
  <c r="U52" i="3" s="1"/>
  <c r="U65" i="2"/>
  <c r="V65" i="2" s="1"/>
  <c r="AD51" i="3"/>
  <c r="BN51" i="3"/>
  <c r="AF152" i="3" s="1"/>
  <c r="Z52" i="12" l="1"/>
  <c r="L153" i="12" s="1"/>
  <c r="A61" i="19"/>
  <c r="H60" i="19"/>
  <c r="L60" i="19"/>
  <c r="I60" i="19"/>
  <c r="J60" i="19"/>
  <c r="K60" i="19"/>
  <c r="B60" i="19"/>
  <c r="F60" i="19"/>
  <c r="C60" i="19"/>
  <c r="D60" i="19"/>
  <c r="E60" i="19"/>
  <c r="Z52" i="10"/>
  <c r="L153" i="10" s="1"/>
  <c r="BB52" i="10"/>
  <c r="AT52" i="12"/>
  <c r="R52" i="10"/>
  <c r="H153" i="10" s="1"/>
  <c r="BB52" i="12"/>
  <c r="N52" i="12"/>
  <c r="AH52" i="12"/>
  <c r="P153" i="12" s="1"/>
  <c r="Q153" i="12" s="1"/>
  <c r="R153" i="12" s="1"/>
  <c r="F52" i="10"/>
  <c r="F52" i="12"/>
  <c r="AL52" i="10"/>
  <c r="U152" i="12"/>
  <c r="V152" i="12" s="1"/>
  <c r="BJ52" i="10"/>
  <c r="Y152" i="12"/>
  <c r="Z152" i="12" s="1"/>
  <c r="Q152" i="10"/>
  <c r="R152" i="10" s="1"/>
  <c r="BN52" i="12"/>
  <c r="AF153" i="12" s="1"/>
  <c r="AE54" i="12"/>
  <c r="AF54" i="12" s="1"/>
  <c r="AG54" i="12" s="1"/>
  <c r="AE54" i="10"/>
  <c r="AF54" i="10" s="1"/>
  <c r="AG54" i="10" s="1"/>
  <c r="W54" i="12"/>
  <c r="X54" i="12" s="1"/>
  <c r="Y54" i="12" s="1"/>
  <c r="W54" i="10"/>
  <c r="X54" i="10" s="1"/>
  <c r="Y54" i="10" s="1"/>
  <c r="BC54" i="12"/>
  <c r="BD54" i="12" s="1"/>
  <c r="BE54" i="12" s="1"/>
  <c r="BC54" i="10"/>
  <c r="BD54" i="10" s="1"/>
  <c r="BE54" i="10" s="1"/>
  <c r="C153" i="12"/>
  <c r="E153" i="12" s="1"/>
  <c r="F153" i="12" s="1"/>
  <c r="C153" i="10"/>
  <c r="E153" i="10" s="1"/>
  <c r="F153" i="10" s="1"/>
  <c r="C153" i="3"/>
  <c r="AT52" i="10"/>
  <c r="E152" i="3"/>
  <c r="F152" i="3" s="1"/>
  <c r="AJ53" i="12"/>
  <c r="AK53" i="12" s="1"/>
  <c r="AP53" i="12" s="1"/>
  <c r="T154" i="12" s="1"/>
  <c r="AZ53" i="12"/>
  <c r="BA53" i="12" s="1"/>
  <c r="BF53" i="12" s="1"/>
  <c r="AB154" i="12" s="1"/>
  <c r="BB53" i="12"/>
  <c r="AJ53" i="10"/>
  <c r="AK53" i="10" s="1"/>
  <c r="AP53" i="10" s="1"/>
  <c r="T154" i="10" s="1"/>
  <c r="T53" i="10"/>
  <c r="U53" i="10" s="1"/>
  <c r="Z53" i="10" s="1"/>
  <c r="L154" i="10" s="1"/>
  <c r="AD52" i="10"/>
  <c r="I152" i="3"/>
  <c r="J152" i="3" s="1"/>
  <c r="AG152" i="3"/>
  <c r="AH152" i="3" s="1"/>
  <c r="AC153" i="10"/>
  <c r="AD153" i="10" s="1"/>
  <c r="O54" i="12"/>
  <c r="P54" i="12" s="1"/>
  <c r="Q54" i="12" s="1"/>
  <c r="O54" i="10"/>
  <c r="P54" i="10" s="1"/>
  <c r="Q54" i="10" s="1"/>
  <c r="G54" i="12"/>
  <c r="H54" i="12" s="1"/>
  <c r="I54" i="12" s="1"/>
  <c r="G54" i="10"/>
  <c r="H54" i="10" s="1"/>
  <c r="I54" i="10" s="1"/>
  <c r="K153" i="12"/>
  <c r="M153" i="12" s="1"/>
  <c r="N153" i="12" s="1"/>
  <c r="K153" i="10"/>
  <c r="M153" i="10" s="1"/>
  <c r="N153" i="10" s="1"/>
  <c r="K153" i="3"/>
  <c r="M152" i="3"/>
  <c r="N152" i="3" s="1"/>
  <c r="T53" i="12"/>
  <c r="U53" i="12" s="1"/>
  <c r="V53" i="12" s="1"/>
  <c r="D53" i="12"/>
  <c r="E53" i="12" s="1"/>
  <c r="J53" i="12" s="1"/>
  <c r="D154" i="12" s="1"/>
  <c r="AY54" i="10"/>
  <c r="BG54" i="10"/>
  <c r="AA54" i="10"/>
  <c r="AI54" i="10"/>
  <c r="K54" i="10"/>
  <c r="AQ54" i="10"/>
  <c r="S54" i="10"/>
  <c r="C54" i="10"/>
  <c r="AB53" i="10"/>
  <c r="AC53" i="10" s="1"/>
  <c r="AH53" i="10" s="1"/>
  <c r="P154" i="10" s="1"/>
  <c r="AZ53" i="10"/>
  <c r="BA53" i="10" s="1"/>
  <c r="BF53" i="10" s="1"/>
  <c r="AB154" i="10" s="1"/>
  <c r="AC153" i="12"/>
  <c r="AD153" i="12" s="1"/>
  <c r="U152" i="3"/>
  <c r="V152" i="3" s="1"/>
  <c r="G153" i="12"/>
  <c r="I153" i="12" s="1"/>
  <c r="J153" i="12" s="1"/>
  <c r="G153" i="10"/>
  <c r="I153" i="10" s="1"/>
  <c r="J153" i="10" s="1"/>
  <c r="G153" i="3"/>
  <c r="AM54" i="12"/>
  <c r="AN54" i="12" s="1"/>
  <c r="AO54" i="12" s="1"/>
  <c r="AM54" i="10"/>
  <c r="AN54" i="10" s="1"/>
  <c r="AO54" i="10" s="1"/>
  <c r="AU54" i="12"/>
  <c r="AV54" i="12" s="1"/>
  <c r="AW54" i="12" s="1"/>
  <c r="AU54" i="10"/>
  <c r="AV54" i="10" s="1"/>
  <c r="AW54" i="10" s="1"/>
  <c r="A55" i="12"/>
  <c r="A55" i="10"/>
  <c r="W153" i="12"/>
  <c r="Y153" i="12" s="1"/>
  <c r="Z153" i="12" s="1"/>
  <c r="W153" i="10"/>
  <c r="Y153" i="10" s="1"/>
  <c r="Z153" i="10" s="1"/>
  <c r="W153" i="3"/>
  <c r="AE153" i="12"/>
  <c r="AG153" i="12" s="1"/>
  <c r="AH153" i="12" s="1"/>
  <c r="AE153" i="10"/>
  <c r="AG153" i="10" s="1"/>
  <c r="AH153" i="10" s="1"/>
  <c r="AE153" i="3"/>
  <c r="BH53" i="12"/>
  <c r="BI53" i="12" s="1"/>
  <c r="BN53" i="12" s="1"/>
  <c r="AF154" i="12" s="1"/>
  <c r="AR53" i="12"/>
  <c r="AS53" i="12" s="1"/>
  <c r="AX53" i="12" s="1"/>
  <c r="X154" i="12" s="1"/>
  <c r="Q152" i="3"/>
  <c r="R152" i="3" s="1"/>
  <c r="AQ54" i="12"/>
  <c r="S54" i="12"/>
  <c r="K54" i="12"/>
  <c r="C54" i="12"/>
  <c r="AI54" i="12"/>
  <c r="AY54" i="12"/>
  <c r="AA54" i="12"/>
  <c r="BG54" i="12"/>
  <c r="L53" i="10"/>
  <c r="M53" i="10" s="1"/>
  <c r="R53" i="10" s="1"/>
  <c r="H154" i="10" s="1"/>
  <c r="D53" i="10"/>
  <c r="E53" i="10" s="1"/>
  <c r="F53" i="10" s="1"/>
  <c r="J53" i="10"/>
  <c r="D154" i="10" s="1"/>
  <c r="BK54" i="12"/>
  <c r="BL54" i="12" s="1"/>
  <c r="BM54" i="12" s="1"/>
  <c r="BK54" i="10"/>
  <c r="BL54" i="10" s="1"/>
  <c r="BM54" i="10" s="1"/>
  <c r="S153" i="12"/>
  <c r="U153" i="12" s="1"/>
  <c r="V153" i="12" s="1"/>
  <c r="S153" i="10"/>
  <c r="U153" i="10" s="1"/>
  <c r="V153" i="10" s="1"/>
  <c r="S153" i="3"/>
  <c r="Y152" i="3"/>
  <c r="Z152" i="3" s="1"/>
  <c r="AB53" i="12"/>
  <c r="AC53" i="12" s="1"/>
  <c r="AH53" i="12" s="1"/>
  <c r="P154" i="12" s="1"/>
  <c r="L53" i="12"/>
  <c r="M53" i="12" s="1"/>
  <c r="N53" i="12" s="1"/>
  <c r="AC152" i="3"/>
  <c r="AD152" i="3" s="1"/>
  <c r="BH53" i="10"/>
  <c r="BI53" i="10" s="1"/>
  <c r="BN53" i="10" s="1"/>
  <c r="AF154" i="10" s="1"/>
  <c r="AR53" i="10"/>
  <c r="AS53" i="10" s="1"/>
  <c r="AX53" i="10" s="1"/>
  <c r="X154" i="10" s="1"/>
  <c r="Q153" i="10"/>
  <c r="R153" i="10" s="1"/>
  <c r="BJ52" i="3"/>
  <c r="V52" i="3"/>
  <c r="J52" i="3"/>
  <c r="D153" i="3" s="1"/>
  <c r="AT52" i="3"/>
  <c r="BB52" i="3"/>
  <c r="N52" i="3"/>
  <c r="AD52" i="3"/>
  <c r="AP52" i="3"/>
  <c r="T153" i="3" s="1"/>
  <c r="F52" i="3"/>
  <c r="BN52" i="3"/>
  <c r="AF153" i="3" s="1"/>
  <c r="AA66" i="2"/>
  <c r="AB66" i="2" s="1"/>
  <c r="AL52" i="3"/>
  <c r="BE66" i="2"/>
  <c r="BF66" i="2" s="1"/>
  <c r="AY66" i="2"/>
  <c r="AZ66" i="2" s="1"/>
  <c r="G54" i="3"/>
  <c r="H54" i="3" s="1"/>
  <c r="I54" i="3" s="1"/>
  <c r="K67" i="2"/>
  <c r="M67" i="2"/>
  <c r="N67" i="2" s="1"/>
  <c r="Z52" i="3"/>
  <c r="L153" i="3" s="1"/>
  <c r="AM54" i="3"/>
  <c r="AN54" i="3" s="1"/>
  <c r="AO54" i="3" s="1"/>
  <c r="AI67" i="2"/>
  <c r="AK67" i="2"/>
  <c r="AU54" i="3"/>
  <c r="AV54" i="3" s="1"/>
  <c r="AW54" i="3" s="1"/>
  <c r="AO67" i="2"/>
  <c r="AQ67" i="2"/>
  <c r="A69" i="2"/>
  <c r="A55" i="3"/>
  <c r="G68" i="2"/>
  <c r="H68" i="2"/>
  <c r="I68" i="2"/>
  <c r="D68" i="2"/>
  <c r="E68" i="2"/>
  <c r="C68" i="2"/>
  <c r="B68" i="2"/>
  <c r="F68" i="2"/>
  <c r="U66" i="2"/>
  <c r="V66" i="2" s="1"/>
  <c r="AJ53" i="3"/>
  <c r="AK53" i="3" s="1"/>
  <c r="AZ53" i="3"/>
  <c r="BA53" i="3" s="1"/>
  <c r="AM66" i="2"/>
  <c r="AN66" i="2" s="1"/>
  <c r="AX52" i="3"/>
  <c r="X153" i="3" s="1"/>
  <c r="AS66" i="2"/>
  <c r="AT66" i="2" s="1"/>
  <c r="BF52" i="3"/>
  <c r="AB153" i="3" s="1"/>
  <c r="AC153" i="3" s="1"/>
  <c r="AD153" i="3" s="1"/>
  <c r="BC67" i="2"/>
  <c r="BK54" i="3"/>
  <c r="BL54" i="3" s="1"/>
  <c r="BM54" i="3" s="1"/>
  <c r="BA67" i="2"/>
  <c r="BG66" i="2"/>
  <c r="T53" i="3"/>
  <c r="U53" i="3" s="1"/>
  <c r="D53" i="3"/>
  <c r="E53" i="3" s="1"/>
  <c r="E48" i="22" s="1"/>
  <c r="AH52" i="3"/>
  <c r="P153" i="3" s="1"/>
  <c r="Q153" i="3" s="1"/>
  <c r="R153" i="3" s="1"/>
  <c r="W54" i="3"/>
  <c r="X54" i="3" s="1"/>
  <c r="Y54" i="3" s="1"/>
  <c r="W67" i="2"/>
  <c r="Y67" i="2"/>
  <c r="BC54" i="3"/>
  <c r="BD54" i="3" s="1"/>
  <c r="BE54" i="3" s="1"/>
  <c r="AU67" i="2"/>
  <c r="AW67" i="2"/>
  <c r="BH53" i="3"/>
  <c r="BI53" i="3" s="1"/>
  <c r="AB53" i="3"/>
  <c r="AC53" i="3" s="1"/>
  <c r="L66" i="2"/>
  <c r="O66" i="2"/>
  <c r="P66" i="2" s="1"/>
  <c r="R52" i="3"/>
  <c r="H153" i="3" s="1"/>
  <c r="AG66" i="2"/>
  <c r="AH66" i="2" s="1"/>
  <c r="AE54" i="3"/>
  <c r="AF54" i="3" s="1"/>
  <c r="AG54" i="3" s="1"/>
  <c r="AC67" i="2"/>
  <c r="AE67" i="2"/>
  <c r="O54" i="3"/>
  <c r="P54" i="3" s="1"/>
  <c r="Q54" i="3" s="1"/>
  <c r="Q67" i="2"/>
  <c r="S67" i="2"/>
  <c r="C54" i="3"/>
  <c r="K54" i="3"/>
  <c r="BG54" i="3"/>
  <c r="S54" i="3"/>
  <c r="AI54" i="3"/>
  <c r="AA54" i="3"/>
  <c r="AQ54" i="3"/>
  <c r="AY54" i="3"/>
  <c r="L53" i="3"/>
  <c r="M53" i="3" s="1"/>
  <c r="AR53" i="3"/>
  <c r="AS53" i="3" s="1"/>
  <c r="BJ53" i="12" l="1"/>
  <c r="BB53" i="10"/>
  <c r="A62" i="19"/>
  <c r="K61" i="19"/>
  <c r="H61" i="19"/>
  <c r="L61" i="19"/>
  <c r="I61" i="19"/>
  <c r="J61" i="19"/>
  <c r="E61" i="19"/>
  <c r="B61" i="19"/>
  <c r="F61" i="19"/>
  <c r="C61" i="19"/>
  <c r="D61" i="19"/>
  <c r="AT53" i="10"/>
  <c r="F53" i="12"/>
  <c r="BJ53" i="10"/>
  <c r="AL53" i="12"/>
  <c r="Z53" i="12"/>
  <c r="L154" i="12" s="1"/>
  <c r="R53" i="12"/>
  <c r="H154" i="12" s="1"/>
  <c r="U153" i="3"/>
  <c r="V153" i="3" s="1"/>
  <c r="G154" i="12"/>
  <c r="G154" i="10"/>
  <c r="I154" i="10" s="1"/>
  <c r="J154" i="10" s="1"/>
  <c r="G154" i="3"/>
  <c r="S154" i="12"/>
  <c r="U154" i="12" s="1"/>
  <c r="V154" i="12" s="1"/>
  <c r="S154" i="10"/>
  <c r="U154" i="10" s="1"/>
  <c r="V154" i="10" s="1"/>
  <c r="S154" i="3"/>
  <c r="W55" i="12"/>
  <c r="X55" i="12" s="1"/>
  <c r="Y55" i="12" s="1"/>
  <c r="W55" i="10"/>
  <c r="X55" i="10" s="1"/>
  <c r="Y55" i="10" s="1"/>
  <c r="G55" i="12"/>
  <c r="H55" i="12" s="1"/>
  <c r="I55" i="12" s="1"/>
  <c r="G55" i="10"/>
  <c r="H55" i="10" s="1"/>
  <c r="I55" i="10" s="1"/>
  <c r="BK55" i="12"/>
  <c r="BL55" i="12" s="1"/>
  <c r="BM55" i="12" s="1"/>
  <c r="BK55" i="10"/>
  <c r="BL55" i="10" s="1"/>
  <c r="BM55" i="10" s="1"/>
  <c r="A56" i="12"/>
  <c r="A56" i="10"/>
  <c r="AE154" i="12"/>
  <c r="AG154" i="12" s="1"/>
  <c r="AH154" i="12" s="1"/>
  <c r="AE154" i="10"/>
  <c r="AG154" i="10" s="1"/>
  <c r="AH154" i="10" s="1"/>
  <c r="AE154" i="3"/>
  <c r="N53" i="10"/>
  <c r="AB54" i="12"/>
  <c r="AC54" i="12" s="1"/>
  <c r="AD54" i="12" s="1"/>
  <c r="L54" i="12"/>
  <c r="M54" i="12" s="1"/>
  <c r="R54" i="12" s="1"/>
  <c r="H155" i="12" s="1"/>
  <c r="AT53" i="12"/>
  <c r="Y153" i="3"/>
  <c r="Z153" i="3" s="1"/>
  <c r="K55" i="12"/>
  <c r="AY55" i="12"/>
  <c r="AQ55" i="12"/>
  <c r="C55" i="12"/>
  <c r="AI55" i="12"/>
  <c r="AA55" i="12"/>
  <c r="S55" i="12"/>
  <c r="BG55" i="12"/>
  <c r="T54" i="10"/>
  <c r="U54" i="10" s="1"/>
  <c r="Z54" i="10" s="1"/>
  <c r="L155" i="10" s="1"/>
  <c r="AB54" i="10"/>
  <c r="AC54" i="10" s="1"/>
  <c r="AH54" i="10" s="1"/>
  <c r="P155" i="10" s="1"/>
  <c r="AL53" i="10"/>
  <c r="C154" i="12"/>
  <c r="E154" i="12" s="1"/>
  <c r="F154" i="12" s="1"/>
  <c r="C154" i="10"/>
  <c r="E154" i="10" s="1"/>
  <c r="F154" i="10" s="1"/>
  <c r="C154" i="3"/>
  <c r="AM55" i="12"/>
  <c r="AN55" i="12" s="1"/>
  <c r="AO55" i="12" s="1"/>
  <c r="AM55" i="10"/>
  <c r="AN55" i="10" s="1"/>
  <c r="AO55" i="10" s="1"/>
  <c r="AA154" i="12"/>
  <c r="AC154" i="12" s="1"/>
  <c r="AD154" i="12" s="1"/>
  <c r="AA154" i="10"/>
  <c r="AC154" i="10" s="1"/>
  <c r="AD154" i="10" s="1"/>
  <c r="AA154" i="3"/>
  <c r="O154" i="12"/>
  <c r="Q154" i="12" s="1"/>
  <c r="R154" i="12" s="1"/>
  <c r="O154" i="10"/>
  <c r="Q154" i="10" s="1"/>
  <c r="R154" i="10" s="1"/>
  <c r="O154" i="3"/>
  <c r="W154" i="12"/>
  <c r="Y154" i="12" s="1"/>
  <c r="Z154" i="12" s="1"/>
  <c r="W154" i="10"/>
  <c r="Y154" i="10" s="1"/>
  <c r="Z154" i="10" s="1"/>
  <c r="W154" i="3"/>
  <c r="O55" i="12"/>
  <c r="P55" i="12" s="1"/>
  <c r="Q55" i="12" s="1"/>
  <c r="O55" i="10"/>
  <c r="P55" i="10" s="1"/>
  <c r="Q55" i="10" s="1"/>
  <c r="BC55" i="12"/>
  <c r="BD55" i="12" s="1"/>
  <c r="BE55" i="12" s="1"/>
  <c r="BC55" i="10"/>
  <c r="BD55" i="10" s="1"/>
  <c r="BE55" i="10" s="1"/>
  <c r="AD53" i="12"/>
  <c r="AZ54" i="12"/>
  <c r="BA54" i="12" s="1"/>
  <c r="BF54" i="12" s="1"/>
  <c r="AB155" i="12" s="1"/>
  <c r="T54" i="12"/>
  <c r="U54" i="12" s="1"/>
  <c r="V54" i="12" s="1"/>
  <c r="AG153" i="3"/>
  <c r="AH153" i="3" s="1"/>
  <c r="I153" i="3"/>
  <c r="J153" i="3" s="1"/>
  <c r="AD53" i="10"/>
  <c r="AR54" i="10"/>
  <c r="AS54" i="10" s="1"/>
  <c r="AX54" i="10" s="1"/>
  <c r="X155" i="10" s="1"/>
  <c r="BH54" i="10"/>
  <c r="BI54" i="10" s="1"/>
  <c r="BN54" i="10" s="1"/>
  <c r="AF155" i="10" s="1"/>
  <c r="V53" i="10"/>
  <c r="AE55" i="12"/>
  <c r="AF55" i="12" s="1"/>
  <c r="AG55" i="12" s="1"/>
  <c r="AE55" i="10"/>
  <c r="AF55" i="10" s="1"/>
  <c r="AG55" i="10" s="1"/>
  <c r="K154" i="12"/>
  <c r="M154" i="12" s="1"/>
  <c r="N154" i="12" s="1"/>
  <c r="K154" i="10"/>
  <c r="M154" i="10" s="1"/>
  <c r="N154" i="10" s="1"/>
  <c r="K154" i="3"/>
  <c r="AJ54" i="12"/>
  <c r="AK54" i="12" s="1"/>
  <c r="AL54" i="12" s="1"/>
  <c r="AR54" i="12"/>
  <c r="AS54" i="12" s="1"/>
  <c r="AT54" i="12" s="1"/>
  <c r="L54" i="10"/>
  <c r="M54" i="10" s="1"/>
  <c r="R54" i="10" s="1"/>
  <c r="H155" i="10" s="1"/>
  <c r="AZ54" i="10"/>
  <c r="BA54" i="10" s="1"/>
  <c r="BB54" i="10" s="1"/>
  <c r="M153" i="3"/>
  <c r="N153" i="3" s="1"/>
  <c r="AU55" i="12"/>
  <c r="AV55" i="12" s="1"/>
  <c r="AW55" i="12" s="1"/>
  <c r="AU55" i="10"/>
  <c r="AV55" i="10" s="1"/>
  <c r="AW55" i="10" s="1"/>
  <c r="BH54" i="12"/>
  <c r="BI54" i="12" s="1"/>
  <c r="BN54" i="12" s="1"/>
  <c r="AF155" i="12" s="1"/>
  <c r="D54" i="12"/>
  <c r="E54" i="12" s="1"/>
  <c r="F54" i="12" s="1"/>
  <c r="AQ55" i="10"/>
  <c r="AI55" i="10"/>
  <c r="S55" i="10"/>
  <c r="K55" i="10"/>
  <c r="AA55" i="10"/>
  <c r="C55" i="10"/>
  <c r="AY55" i="10"/>
  <c r="BG55" i="10"/>
  <c r="D54" i="10"/>
  <c r="E54" i="10" s="1"/>
  <c r="J54" i="10" s="1"/>
  <c r="D155" i="10" s="1"/>
  <c r="AJ54" i="10"/>
  <c r="AK54" i="10" s="1"/>
  <c r="AP54" i="10" s="1"/>
  <c r="T155" i="10" s="1"/>
  <c r="E153" i="3"/>
  <c r="F153" i="3" s="1"/>
  <c r="AH53" i="3"/>
  <c r="P154" i="3" s="1"/>
  <c r="AP53" i="3"/>
  <c r="T154" i="3" s="1"/>
  <c r="N53" i="3"/>
  <c r="BJ53" i="3"/>
  <c r="F53" i="3"/>
  <c r="AX53" i="3"/>
  <c r="X154" i="3" s="1"/>
  <c r="V53" i="3"/>
  <c r="BF53" i="3"/>
  <c r="AB154" i="3" s="1"/>
  <c r="AD53" i="3"/>
  <c r="BE67" i="2"/>
  <c r="BF67" i="2" s="1"/>
  <c r="R53" i="3"/>
  <c r="H154" i="3" s="1"/>
  <c r="BN53" i="3"/>
  <c r="AF154" i="3" s="1"/>
  <c r="Z53" i="3"/>
  <c r="L154" i="3" s="1"/>
  <c r="AT53" i="3"/>
  <c r="AA67" i="2"/>
  <c r="AB67" i="2" s="1"/>
  <c r="J53" i="3"/>
  <c r="D154" i="3" s="1"/>
  <c r="AZ54" i="3"/>
  <c r="BA54" i="3" s="1"/>
  <c r="T54" i="3"/>
  <c r="U54" i="3" s="1"/>
  <c r="U67" i="2"/>
  <c r="V67" i="2" s="1"/>
  <c r="AG67" i="2"/>
  <c r="AH67" i="2" s="1"/>
  <c r="AY67" i="2"/>
  <c r="AZ67" i="2" s="1"/>
  <c r="BB53" i="3"/>
  <c r="AM55" i="3"/>
  <c r="AN55" i="3" s="1"/>
  <c r="AO55" i="3" s="1"/>
  <c r="AI68" i="2"/>
  <c r="AK68" i="2"/>
  <c r="W55" i="3"/>
  <c r="X55" i="3" s="1"/>
  <c r="Y55" i="3" s="1"/>
  <c r="W68" i="2"/>
  <c r="Y68" i="2"/>
  <c r="AA55" i="3"/>
  <c r="C55" i="3"/>
  <c r="AI55" i="3"/>
  <c r="K55" i="3"/>
  <c r="S55" i="3"/>
  <c r="BG55" i="3"/>
  <c r="AQ55" i="3"/>
  <c r="AY55" i="3"/>
  <c r="AJ54" i="3"/>
  <c r="AK54" i="3" s="1"/>
  <c r="AR54" i="3"/>
  <c r="AS54" i="3" s="1"/>
  <c r="G55" i="3"/>
  <c r="H55" i="3" s="1"/>
  <c r="I55" i="3" s="1"/>
  <c r="K68" i="2"/>
  <c r="M68" i="2"/>
  <c r="N68" i="2" s="1"/>
  <c r="BC68" i="2"/>
  <c r="BK55" i="3"/>
  <c r="BL55" i="3" s="1"/>
  <c r="BM55" i="3" s="1"/>
  <c r="BA68" i="2"/>
  <c r="A70" i="2"/>
  <c r="A56" i="3"/>
  <c r="H69" i="2"/>
  <c r="I69" i="2"/>
  <c r="G69" i="2"/>
  <c r="E69" i="2"/>
  <c r="F69" i="2"/>
  <c r="B69" i="2"/>
  <c r="C69" i="2"/>
  <c r="D69" i="2"/>
  <c r="BH54" i="3"/>
  <c r="BI54" i="3" s="1"/>
  <c r="AB54" i="3"/>
  <c r="AC54" i="3" s="1"/>
  <c r="L54" i="3"/>
  <c r="M54" i="3" s="1"/>
  <c r="AL53" i="3"/>
  <c r="O55" i="3"/>
  <c r="P55" i="3" s="1"/>
  <c r="Q55" i="3" s="1"/>
  <c r="Q68" i="2"/>
  <c r="S68" i="2"/>
  <c r="BC55" i="3"/>
  <c r="BD55" i="3" s="1"/>
  <c r="BE55" i="3" s="1"/>
  <c r="AU68" i="2"/>
  <c r="AW68" i="2"/>
  <c r="AS67" i="2"/>
  <c r="AT67" i="2" s="1"/>
  <c r="AM67" i="2"/>
  <c r="AN67" i="2" s="1"/>
  <c r="L67" i="2"/>
  <c r="O67" i="2"/>
  <c r="P67" i="2" s="1"/>
  <c r="D54" i="3"/>
  <c r="E54" i="3" s="1"/>
  <c r="J54" i="3" s="1"/>
  <c r="D155" i="3" s="1"/>
  <c r="AE55" i="3"/>
  <c r="AF55" i="3" s="1"/>
  <c r="AG55" i="3" s="1"/>
  <c r="AC68" i="2"/>
  <c r="AE68" i="2"/>
  <c r="AU55" i="3"/>
  <c r="AV55" i="3" s="1"/>
  <c r="AW55" i="3" s="1"/>
  <c r="AO68" i="2"/>
  <c r="AQ68" i="2"/>
  <c r="F54" i="10" l="1"/>
  <c r="N54" i="12"/>
  <c r="E49" i="22"/>
  <c r="A63" i="19"/>
  <c r="J62" i="19"/>
  <c r="K62" i="19"/>
  <c r="H62" i="19"/>
  <c r="L62" i="19"/>
  <c r="I62" i="19"/>
  <c r="D62" i="19"/>
  <c r="E62" i="19"/>
  <c r="B62" i="19"/>
  <c r="F62" i="19"/>
  <c r="C62" i="19"/>
  <c r="N54" i="10"/>
  <c r="Z54" i="12"/>
  <c r="L155" i="12" s="1"/>
  <c r="AH54" i="12"/>
  <c r="P155" i="12" s="1"/>
  <c r="I154" i="12"/>
  <c r="J154" i="12" s="1"/>
  <c r="J54" i="12"/>
  <c r="D155" i="12" s="1"/>
  <c r="V54" i="10"/>
  <c r="BF54" i="10"/>
  <c r="AB155" i="10" s="1"/>
  <c r="BG67" i="2"/>
  <c r="S155" i="12"/>
  <c r="S155" i="10"/>
  <c r="U155" i="10" s="1"/>
  <c r="V155" i="10" s="1"/>
  <c r="S155" i="3"/>
  <c r="W56" i="12"/>
  <c r="X56" i="12" s="1"/>
  <c r="Y56" i="12" s="1"/>
  <c r="W56" i="10"/>
  <c r="X56" i="10" s="1"/>
  <c r="Y56" i="10" s="1"/>
  <c r="AE56" i="12"/>
  <c r="AF56" i="12" s="1"/>
  <c r="AG56" i="12" s="1"/>
  <c r="AE56" i="10"/>
  <c r="AF56" i="10" s="1"/>
  <c r="AG56" i="10" s="1"/>
  <c r="G155" i="12"/>
  <c r="I155" i="12" s="1"/>
  <c r="J155" i="12" s="1"/>
  <c r="G155" i="10"/>
  <c r="I155" i="10" s="1"/>
  <c r="J155" i="10" s="1"/>
  <c r="G155" i="3"/>
  <c r="K155" i="12"/>
  <c r="M155" i="12" s="1"/>
  <c r="N155" i="12" s="1"/>
  <c r="K155" i="10"/>
  <c r="M155" i="10" s="1"/>
  <c r="N155" i="10" s="1"/>
  <c r="K155" i="3"/>
  <c r="AL54" i="10"/>
  <c r="D55" i="10"/>
  <c r="E55" i="10" s="1"/>
  <c r="F55" i="10" s="1"/>
  <c r="AJ55" i="10"/>
  <c r="AK55" i="10" s="1"/>
  <c r="AL55" i="10" s="1"/>
  <c r="AP54" i="12"/>
  <c r="T155" i="12" s="1"/>
  <c r="AT54" i="10"/>
  <c r="Q154" i="3"/>
  <c r="R154" i="3" s="1"/>
  <c r="E154" i="3"/>
  <c r="F154" i="3" s="1"/>
  <c r="AD54" i="10"/>
  <c r="AJ55" i="12"/>
  <c r="AK55" i="12" s="1"/>
  <c r="AP55" i="12" s="1"/>
  <c r="T156" i="12" s="1"/>
  <c r="AL55" i="12"/>
  <c r="L55" i="12"/>
  <c r="M55" i="12" s="1"/>
  <c r="R55" i="12" s="1"/>
  <c r="H156" i="12" s="1"/>
  <c r="C155" i="12"/>
  <c r="E155" i="12" s="1"/>
  <c r="F155" i="12" s="1"/>
  <c r="C155" i="10"/>
  <c r="E155" i="10" s="1"/>
  <c r="F155" i="10" s="1"/>
  <c r="C155" i="3"/>
  <c r="E155" i="3" s="1"/>
  <c r="F155" i="3" s="1"/>
  <c r="W155" i="12"/>
  <c r="W155" i="10"/>
  <c r="Y155" i="10" s="1"/>
  <c r="Z155" i="10" s="1"/>
  <c r="W155" i="3"/>
  <c r="U68" i="2"/>
  <c r="V68" i="2" s="1"/>
  <c r="O56" i="12"/>
  <c r="P56" i="12" s="1"/>
  <c r="Q56" i="12" s="1"/>
  <c r="O56" i="10"/>
  <c r="P56" i="10" s="1"/>
  <c r="Q56" i="10" s="1"/>
  <c r="AU56" i="12"/>
  <c r="AV56" i="12" s="1"/>
  <c r="AW56" i="12" s="1"/>
  <c r="AU56" i="10"/>
  <c r="AV56" i="10" s="1"/>
  <c r="AW56" i="10" s="1"/>
  <c r="A57" i="12"/>
  <c r="A57" i="10"/>
  <c r="AE155" i="12"/>
  <c r="AG155" i="12" s="1"/>
  <c r="AH155" i="12" s="1"/>
  <c r="AE155" i="10"/>
  <c r="AG155" i="10" s="1"/>
  <c r="AH155" i="10" s="1"/>
  <c r="AE155" i="3"/>
  <c r="AB55" i="10"/>
  <c r="AC55" i="10" s="1"/>
  <c r="AH55" i="10" s="1"/>
  <c r="P156" i="10" s="1"/>
  <c r="AR55" i="10"/>
  <c r="AS55" i="10" s="1"/>
  <c r="AT55" i="10" s="1"/>
  <c r="BJ54" i="12"/>
  <c r="AX54" i="12"/>
  <c r="X155" i="12" s="1"/>
  <c r="BJ54" i="10"/>
  <c r="BB54" i="12"/>
  <c r="Y154" i="3"/>
  <c r="Z154" i="3" s="1"/>
  <c r="BH55" i="12"/>
  <c r="BI55" i="12" s="1"/>
  <c r="BN55" i="12" s="1"/>
  <c r="AF156" i="12" s="1"/>
  <c r="D55" i="12"/>
  <c r="E55" i="12" s="1"/>
  <c r="J55" i="12" s="1"/>
  <c r="D156" i="12" s="1"/>
  <c r="I154" i="3"/>
  <c r="J154" i="3" s="1"/>
  <c r="G56" i="12"/>
  <c r="H56" i="12" s="1"/>
  <c r="I56" i="12" s="1"/>
  <c r="G56" i="10"/>
  <c r="H56" i="10" s="1"/>
  <c r="I56" i="10" s="1"/>
  <c r="BK56" i="12"/>
  <c r="BL56" i="12" s="1"/>
  <c r="BM56" i="12" s="1"/>
  <c r="BK56" i="10"/>
  <c r="BL56" i="10" s="1"/>
  <c r="BM56" i="10" s="1"/>
  <c r="AA155" i="12"/>
  <c r="AC155" i="12" s="1"/>
  <c r="AD155" i="12" s="1"/>
  <c r="AA155" i="10"/>
  <c r="AC155" i="10" s="1"/>
  <c r="AD155" i="10" s="1"/>
  <c r="AA155" i="3"/>
  <c r="BH55" i="10"/>
  <c r="BI55" i="10" s="1"/>
  <c r="BN55" i="10" s="1"/>
  <c r="AF156" i="10" s="1"/>
  <c r="L55" i="10"/>
  <c r="M55" i="10" s="1"/>
  <c r="R55" i="10" s="1"/>
  <c r="H156" i="10" s="1"/>
  <c r="T55" i="12"/>
  <c r="U55" i="12" s="1"/>
  <c r="V55" i="12" s="1"/>
  <c r="AR55" i="12"/>
  <c r="AS55" i="12" s="1"/>
  <c r="AX55" i="12" s="1"/>
  <c r="X156" i="12" s="1"/>
  <c r="AI56" i="10"/>
  <c r="AA56" i="10"/>
  <c r="AQ56" i="10"/>
  <c r="C56" i="10"/>
  <c r="S56" i="10"/>
  <c r="BG56" i="10"/>
  <c r="AY56" i="10"/>
  <c r="K56" i="10"/>
  <c r="U154" i="3"/>
  <c r="V154" i="3" s="1"/>
  <c r="AM56" i="12"/>
  <c r="AN56" i="12" s="1"/>
  <c r="AO56" i="12" s="1"/>
  <c r="AM56" i="10"/>
  <c r="AN56" i="10" s="1"/>
  <c r="AO56" i="10" s="1"/>
  <c r="BC56" i="12"/>
  <c r="BD56" i="12" s="1"/>
  <c r="BE56" i="12" s="1"/>
  <c r="BC56" i="10"/>
  <c r="BD56" i="10" s="1"/>
  <c r="BE56" i="10" s="1"/>
  <c r="O155" i="12"/>
  <c r="Q155" i="12" s="1"/>
  <c r="R155" i="12" s="1"/>
  <c r="O155" i="10"/>
  <c r="Q155" i="10" s="1"/>
  <c r="R155" i="10" s="1"/>
  <c r="O155" i="3"/>
  <c r="AZ55" i="10"/>
  <c r="BA55" i="10" s="1"/>
  <c r="BB55" i="10" s="1"/>
  <c r="T55" i="10"/>
  <c r="U55" i="10" s="1"/>
  <c r="V55" i="10" s="1"/>
  <c r="M154" i="3"/>
  <c r="N154" i="3" s="1"/>
  <c r="AC154" i="3"/>
  <c r="AD154" i="3" s="1"/>
  <c r="AB55" i="12"/>
  <c r="AC55" i="12" s="1"/>
  <c r="AH55" i="12" s="1"/>
  <c r="P156" i="12" s="1"/>
  <c r="AZ55" i="12"/>
  <c r="BA55" i="12" s="1"/>
  <c r="BB55" i="12" s="1"/>
  <c r="AG154" i="3"/>
  <c r="AH154" i="3" s="1"/>
  <c r="K56" i="12"/>
  <c r="AI56" i="12"/>
  <c r="AQ56" i="12"/>
  <c r="C56" i="12"/>
  <c r="BG56" i="12"/>
  <c r="AY56" i="12"/>
  <c r="S56" i="12"/>
  <c r="AA56" i="12"/>
  <c r="BN54" i="3"/>
  <c r="AF155" i="3" s="1"/>
  <c r="AG155" i="3" s="1"/>
  <c r="AH155" i="3" s="1"/>
  <c r="F54" i="3"/>
  <c r="AT54" i="3"/>
  <c r="V54" i="3"/>
  <c r="N54" i="3"/>
  <c r="AL54" i="3"/>
  <c r="AH54" i="3"/>
  <c r="P155" i="3" s="1"/>
  <c r="Q155" i="3" s="1"/>
  <c r="R155" i="3" s="1"/>
  <c r="BB54" i="3"/>
  <c r="BE68" i="2"/>
  <c r="BF68" i="2" s="1"/>
  <c r="AY68" i="2"/>
  <c r="AZ68" i="2" s="1"/>
  <c r="BJ54" i="3"/>
  <c r="AM68" i="2"/>
  <c r="AN68" i="2" s="1"/>
  <c r="AX54" i="3"/>
  <c r="X155" i="3" s="1"/>
  <c r="Y155" i="3" s="1"/>
  <c r="Z155" i="3" s="1"/>
  <c r="BF54" i="3"/>
  <c r="AB155" i="3" s="1"/>
  <c r="AS68" i="2"/>
  <c r="AT68" i="2" s="1"/>
  <c r="AG68" i="2"/>
  <c r="AH68" i="2" s="1"/>
  <c r="R54" i="3"/>
  <c r="H155" i="3" s="1"/>
  <c r="G56" i="3"/>
  <c r="H56" i="3" s="1"/>
  <c r="I56" i="3" s="1"/>
  <c r="K69" i="2"/>
  <c r="M69" i="2"/>
  <c r="N69" i="2" s="1"/>
  <c r="BC69" i="2"/>
  <c r="BK56" i="3"/>
  <c r="BL56" i="3" s="1"/>
  <c r="BM56" i="3" s="1"/>
  <c r="BA69" i="2"/>
  <c r="L68" i="2"/>
  <c r="O68" i="2"/>
  <c r="P68" i="2" s="1"/>
  <c r="AR55" i="3"/>
  <c r="AS55" i="3" s="1"/>
  <c r="AJ55" i="3"/>
  <c r="AK55" i="3" s="1"/>
  <c r="AA68" i="2"/>
  <c r="AB68" i="2" s="1"/>
  <c r="Z54" i="3"/>
  <c r="L155" i="3" s="1"/>
  <c r="M155" i="3" s="1"/>
  <c r="N155" i="3" s="1"/>
  <c r="AM56" i="3"/>
  <c r="AN56" i="3" s="1"/>
  <c r="AO56" i="3" s="1"/>
  <c r="AI69" i="2"/>
  <c r="AK69" i="2"/>
  <c r="BC56" i="3"/>
  <c r="BD56" i="3" s="1"/>
  <c r="BE56" i="3" s="1"/>
  <c r="AU69" i="2"/>
  <c r="AW69" i="2"/>
  <c r="BH55" i="3"/>
  <c r="BI55" i="3" s="1"/>
  <c r="D55" i="3"/>
  <c r="E55" i="3" s="1"/>
  <c r="E50" i="22" s="1"/>
  <c r="AD54" i="3"/>
  <c r="W56" i="3"/>
  <c r="X56" i="3" s="1"/>
  <c r="Y56" i="3" s="1"/>
  <c r="W69" i="2"/>
  <c r="Y69" i="2"/>
  <c r="AE56" i="3"/>
  <c r="AF56" i="3" s="1"/>
  <c r="AG56" i="3" s="1"/>
  <c r="AC69" i="2"/>
  <c r="AE69" i="2"/>
  <c r="C56" i="3"/>
  <c r="BG56" i="3"/>
  <c r="AA56" i="3"/>
  <c r="AQ56" i="3"/>
  <c r="S56" i="3"/>
  <c r="AI56" i="3"/>
  <c r="K56" i="3"/>
  <c r="AY56" i="3"/>
  <c r="AP54" i="3"/>
  <c r="T155" i="3" s="1"/>
  <c r="U155" i="3" s="1"/>
  <c r="V155" i="3" s="1"/>
  <c r="T55" i="3"/>
  <c r="U55" i="3" s="1"/>
  <c r="AB55" i="3"/>
  <c r="AC55" i="3" s="1"/>
  <c r="O56" i="3"/>
  <c r="P56" i="3" s="1"/>
  <c r="Q56" i="3" s="1"/>
  <c r="Q69" i="2"/>
  <c r="S69" i="2"/>
  <c r="AU56" i="3"/>
  <c r="AV56" i="3" s="1"/>
  <c r="AW56" i="3" s="1"/>
  <c r="AO69" i="2"/>
  <c r="AQ69" i="2"/>
  <c r="A71" i="2"/>
  <c r="A57" i="3"/>
  <c r="G70" i="2"/>
  <c r="H70" i="2"/>
  <c r="I70" i="2"/>
  <c r="D70" i="2"/>
  <c r="E70" i="2"/>
  <c r="C70" i="2"/>
  <c r="B70" i="2"/>
  <c r="F70" i="2"/>
  <c r="AZ55" i="3"/>
  <c r="BA55" i="3" s="1"/>
  <c r="L55" i="3"/>
  <c r="M55" i="3" s="1"/>
  <c r="F55" i="12" l="1"/>
  <c r="N55" i="10"/>
  <c r="BF55" i="10"/>
  <c r="AB156" i="10" s="1"/>
  <c r="A64" i="19"/>
  <c r="I63" i="19"/>
  <c r="J63" i="19"/>
  <c r="K63" i="19"/>
  <c r="H63" i="19"/>
  <c r="L63" i="19"/>
  <c r="C63" i="19"/>
  <c r="D63" i="19"/>
  <c r="E63" i="19"/>
  <c r="B63" i="19"/>
  <c r="F63" i="19"/>
  <c r="AD55" i="12"/>
  <c r="Z55" i="10"/>
  <c r="L156" i="10" s="1"/>
  <c r="AP55" i="10"/>
  <c r="T156" i="10" s="1"/>
  <c r="BG68" i="2"/>
  <c r="AT55" i="12"/>
  <c r="AX55" i="10"/>
  <c r="X156" i="10" s="1"/>
  <c r="N55" i="12"/>
  <c r="BJ55" i="12"/>
  <c r="AD55" i="10"/>
  <c r="J55" i="10"/>
  <c r="D156" i="10" s="1"/>
  <c r="O57" i="12"/>
  <c r="P57" i="12" s="1"/>
  <c r="Q57" i="12" s="1"/>
  <c r="O57" i="10"/>
  <c r="P57" i="10" s="1"/>
  <c r="Q57" i="10" s="1"/>
  <c r="C156" i="12"/>
  <c r="E156" i="12" s="1"/>
  <c r="F156" i="12" s="1"/>
  <c r="C156" i="10"/>
  <c r="C156" i="3"/>
  <c r="AA156" i="12"/>
  <c r="AA156" i="10"/>
  <c r="AC156" i="10" s="1"/>
  <c r="AD156" i="10" s="1"/>
  <c r="AA156" i="3"/>
  <c r="AZ56" i="12"/>
  <c r="BA56" i="12" s="1"/>
  <c r="BB56" i="12" s="1"/>
  <c r="AJ56" i="12"/>
  <c r="AK56" i="12" s="1"/>
  <c r="AL56" i="12" s="1"/>
  <c r="BF55" i="12"/>
  <c r="AB156" i="12" s="1"/>
  <c r="L56" i="10"/>
  <c r="M56" i="10" s="1"/>
  <c r="R56" i="10" s="1"/>
  <c r="H157" i="10" s="1"/>
  <c r="D56" i="10"/>
  <c r="E56" i="10" s="1"/>
  <c r="F56" i="10" s="1"/>
  <c r="Z55" i="12"/>
  <c r="L156" i="12" s="1"/>
  <c r="AI57" i="10"/>
  <c r="C57" i="10"/>
  <c r="BG57" i="10"/>
  <c r="AA57" i="10"/>
  <c r="S57" i="10"/>
  <c r="K57" i="10"/>
  <c r="AQ57" i="10"/>
  <c r="AY57" i="10"/>
  <c r="AE57" i="12"/>
  <c r="AF57" i="12" s="1"/>
  <c r="AG57" i="12" s="1"/>
  <c r="AE57" i="10"/>
  <c r="AF57" i="10" s="1"/>
  <c r="AG57" i="10" s="1"/>
  <c r="AU57" i="12"/>
  <c r="AV57" i="12" s="1"/>
  <c r="AW57" i="12" s="1"/>
  <c r="AU57" i="10"/>
  <c r="AV57" i="10" s="1"/>
  <c r="AW57" i="10" s="1"/>
  <c r="K156" i="12"/>
  <c r="K156" i="10"/>
  <c r="M156" i="10" s="1"/>
  <c r="N156" i="10" s="1"/>
  <c r="K156" i="3"/>
  <c r="AE156" i="12"/>
  <c r="AG156" i="12" s="1"/>
  <c r="AH156" i="12" s="1"/>
  <c r="AE156" i="10"/>
  <c r="AG156" i="10" s="1"/>
  <c r="AH156" i="10" s="1"/>
  <c r="AE156" i="3"/>
  <c r="BH56" i="12"/>
  <c r="BI56" i="12" s="1"/>
  <c r="BN56" i="12" s="1"/>
  <c r="AF157" i="12" s="1"/>
  <c r="L56" i="12"/>
  <c r="M56" i="12" s="1"/>
  <c r="N56" i="12" s="1"/>
  <c r="AZ56" i="10"/>
  <c r="BA56" i="10" s="1"/>
  <c r="BF56" i="10" s="1"/>
  <c r="AB157" i="10" s="1"/>
  <c r="AR56" i="10"/>
  <c r="AS56" i="10" s="1"/>
  <c r="AX56" i="10" s="1"/>
  <c r="X157" i="10" s="1"/>
  <c r="AC155" i="3"/>
  <c r="AD155" i="3" s="1"/>
  <c r="C57" i="12"/>
  <c r="AI57" i="12"/>
  <c r="AA57" i="12"/>
  <c r="S57" i="12"/>
  <c r="BG57" i="12"/>
  <c r="AQ57" i="12"/>
  <c r="AY57" i="12"/>
  <c r="K57" i="12"/>
  <c r="Y155" i="12"/>
  <c r="Z155" i="12" s="1"/>
  <c r="BC57" i="12"/>
  <c r="BD57" i="12" s="1"/>
  <c r="BE57" i="12" s="1"/>
  <c r="BC57" i="10"/>
  <c r="BD57" i="10" s="1"/>
  <c r="BE57" i="10" s="1"/>
  <c r="W57" i="12"/>
  <c r="X57" i="12" s="1"/>
  <c r="Y57" i="12" s="1"/>
  <c r="W57" i="10"/>
  <c r="X57" i="10" s="1"/>
  <c r="Y57" i="10" s="1"/>
  <c r="O156" i="12"/>
  <c r="O156" i="10"/>
  <c r="Q156" i="10" s="1"/>
  <c r="R156" i="10" s="1"/>
  <c r="O156" i="3"/>
  <c r="S156" i="12"/>
  <c r="U156" i="12" s="1"/>
  <c r="V156" i="12" s="1"/>
  <c r="S156" i="10"/>
  <c r="U156" i="10" s="1"/>
  <c r="V156" i="10" s="1"/>
  <c r="S156" i="3"/>
  <c r="AB56" i="12"/>
  <c r="AC56" i="12" s="1"/>
  <c r="AH56" i="12" s="1"/>
  <c r="P157" i="12" s="1"/>
  <c r="D56" i="12"/>
  <c r="E56" i="12" s="1"/>
  <c r="J56" i="12" s="1"/>
  <c r="D157" i="12" s="1"/>
  <c r="BH56" i="10"/>
  <c r="BI56" i="10" s="1"/>
  <c r="BN56" i="10" s="1"/>
  <c r="AF157" i="10" s="1"/>
  <c r="AB56" i="10"/>
  <c r="AC56" i="10" s="1"/>
  <c r="AH56" i="10" s="1"/>
  <c r="P157" i="10" s="1"/>
  <c r="BJ55" i="10"/>
  <c r="G156" i="12"/>
  <c r="I156" i="12" s="1"/>
  <c r="J156" i="12" s="1"/>
  <c r="G156" i="10"/>
  <c r="I156" i="10" s="1"/>
  <c r="J156" i="10" s="1"/>
  <c r="G156" i="3"/>
  <c r="I155" i="3"/>
  <c r="J155" i="3" s="1"/>
  <c r="AM57" i="12"/>
  <c r="AN57" i="12" s="1"/>
  <c r="AO57" i="12" s="1"/>
  <c r="AM57" i="10"/>
  <c r="AN57" i="10" s="1"/>
  <c r="AO57" i="10" s="1"/>
  <c r="G57" i="12"/>
  <c r="H57" i="12" s="1"/>
  <c r="I57" i="12" s="1"/>
  <c r="G57" i="10"/>
  <c r="H57" i="10" s="1"/>
  <c r="I57" i="10" s="1"/>
  <c r="BK57" i="12"/>
  <c r="BL57" i="12" s="1"/>
  <c r="BM57" i="12" s="1"/>
  <c r="BK57" i="10"/>
  <c r="BL57" i="10" s="1"/>
  <c r="BM57" i="10" s="1"/>
  <c r="A58" i="12"/>
  <c r="A58" i="10"/>
  <c r="BE69" i="2"/>
  <c r="BF69" i="2" s="1"/>
  <c r="W156" i="12"/>
  <c r="Y156" i="12" s="1"/>
  <c r="Z156" i="12" s="1"/>
  <c r="W156" i="10"/>
  <c r="Y156" i="10" s="1"/>
  <c r="Z156" i="10" s="1"/>
  <c r="W156" i="3"/>
  <c r="T56" i="12"/>
  <c r="U56" i="12" s="1"/>
  <c r="V56" i="12" s="1"/>
  <c r="AR56" i="12"/>
  <c r="AS56" i="12" s="1"/>
  <c r="AT56" i="12" s="1"/>
  <c r="Q156" i="12"/>
  <c r="R156" i="12" s="1"/>
  <c r="T56" i="10"/>
  <c r="U56" i="10" s="1"/>
  <c r="Z56" i="10" s="1"/>
  <c r="L157" i="10" s="1"/>
  <c r="AJ56" i="10"/>
  <c r="AK56" i="10" s="1"/>
  <c r="AP56" i="10" s="1"/>
  <c r="T157" i="10" s="1"/>
  <c r="U155" i="12"/>
  <c r="V155" i="12" s="1"/>
  <c r="AD55" i="3"/>
  <c r="V55" i="3"/>
  <c r="AX55" i="3"/>
  <c r="X156" i="3" s="1"/>
  <c r="F55" i="3"/>
  <c r="AL55" i="3"/>
  <c r="N55" i="3"/>
  <c r="BB55" i="3"/>
  <c r="BJ55" i="3"/>
  <c r="AT55" i="3"/>
  <c r="AY69" i="2"/>
  <c r="AZ69" i="2" s="1"/>
  <c r="AP55" i="3"/>
  <c r="T156" i="3" s="1"/>
  <c r="BF55" i="3"/>
  <c r="AB156" i="3" s="1"/>
  <c r="U69" i="2"/>
  <c r="V69" i="2" s="1"/>
  <c r="AH55" i="3"/>
  <c r="P156" i="3" s="1"/>
  <c r="AG69" i="2"/>
  <c r="AH69" i="2" s="1"/>
  <c r="L56" i="3"/>
  <c r="M56" i="3" s="1"/>
  <c r="AB56" i="3"/>
  <c r="AC56" i="3" s="1"/>
  <c r="R55" i="3"/>
  <c r="H156" i="3" s="1"/>
  <c r="AM57" i="3"/>
  <c r="AN57" i="3" s="1"/>
  <c r="AO57" i="3" s="1"/>
  <c r="AI70" i="2"/>
  <c r="AK70" i="2"/>
  <c r="W57" i="3"/>
  <c r="X57" i="3" s="1"/>
  <c r="Y57" i="3" s="1"/>
  <c r="W70" i="2"/>
  <c r="Y70" i="2"/>
  <c r="AY57" i="3"/>
  <c r="AA57" i="3"/>
  <c r="AI57" i="3"/>
  <c r="C57" i="3"/>
  <c r="K57" i="3"/>
  <c r="S57" i="3"/>
  <c r="BG57" i="3"/>
  <c r="AQ57" i="3"/>
  <c r="Z55" i="3"/>
  <c r="L156" i="3" s="1"/>
  <c r="AJ56" i="3"/>
  <c r="AK56" i="3" s="1"/>
  <c r="BH56" i="3"/>
  <c r="BI56" i="3" s="1"/>
  <c r="BN55" i="3"/>
  <c r="AF156" i="3" s="1"/>
  <c r="AE57" i="3"/>
  <c r="AF57" i="3" s="1"/>
  <c r="AG57" i="3" s="1"/>
  <c r="AC70" i="2"/>
  <c r="AE70" i="2"/>
  <c r="BC70" i="2"/>
  <c r="BK57" i="3"/>
  <c r="BL57" i="3" s="1"/>
  <c r="BM57" i="3" s="1"/>
  <c r="BA70" i="2"/>
  <c r="T56" i="3"/>
  <c r="U56" i="3" s="1"/>
  <c r="D56" i="3"/>
  <c r="E56" i="3" s="1"/>
  <c r="E51" i="22" s="1"/>
  <c r="G57" i="3"/>
  <c r="H57" i="3" s="1"/>
  <c r="I57" i="3" s="1"/>
  <c r="K70" i="2"/>
  <c r="M70" i="2"/>
  <c r="N70" i="2" s="1"/>
  <c r="A72" i="2"/>
  <c r="A58" i="3"/>
  <c r="H71" i="2"/>
  <c r="I71" i="2"/>
  <c r="G71" i="2"/>
  <c r="C71" i="2"/>
  <c r="D71" i="2"/>
  <c r="E71" i="2"/>
  <c r="F71" i="2"/>
  <c r="B71" i="2"/>
  <c r="O57" i="3"/>
  <c r="P57" i="3" s="1"/>
  <c r="Q57" i="3" s="1"/>
  <c r="Q70" i="2"/>
  <c r="S70" i="2"/>
  <c r="BC57" i="3"/>
  <c r="BD57" i="3" s="1"/>
  <c r="BE57" i="3" s="1"/>
  <c r="AU70" i="2"/>
  <c r="AW70" i="2"/>
  <c r="AS69" i="2"/>
  <c r="AT69" i="2" s="1"/>
  <c r="AZ56" i="3"/>
  <c r="BA56" i="3" s="1"/>
  <c r="AR56" i="3"/>
  <c r="AS56" i="3" s="1"/>
  <c r="AA69" i="2"/>
  <c r="AB69" i="2" s="1"/>
  <c r="J55" i="3"/>
  <c r="D156" i="3" s="1"/>
  <c r="AM69" i="2"/>
  <c r="AN69" i="2" s="1"/>
  <c r="AU57" i="3"/>
  <c r="AV57" i="3" s="1"/>
  <c r="AW57" i="3" s="1"/>
  <c r="AO70" i="2"/>
  <c r="AQ70" i="2"/>
  <c r="L69" i="2"/>
  <c r="O69" i="2"/>
  <c r="P69" i="2" s="1"/>
  <c r="E156" i="10" l="1"/>
  <c r="F156" i="10" s="1"/>
  <c r="V56" i="10"/>
  <c r="A65" i="19"/>
  <c r="H64" i="19"/>
  <c r="L64" i="19"/>
  <c r="I64" i="19"/>
  <c r="J64" i="19"/>
  <c r="K64" i="19"/>
  <c r="B64" i="19"/>
  <c r="F64" i="19"/>
  <c r="C64" i="19"/>
  <c r="D64" i="19"/>
  <c r="E64" i="19"/>
  <c r="AL56" i="10"/>
  <c r="J56" i="10"/>
  <c r="D157" i="10" s="1"/>
  <c r="AA70" i="2"/>
  <c r="AB70" i="2" s="1"/>
  <c r="K158" i="10" s="1"/>
  <c r="BG69" i="2"/>
  <c r="AX56" i="12"/>
  <c r="X157" i="12" s="1"/>
  <c r="AD56" i="10"/>
  <c r="AD56" i="12"/>
  <c r="R56" i="12"/>
  <c r="H157" i="12" s="1"/>
  <c r="M156" i="12"/>
  <c r="N156" i="12" s="1"/>
  <c r="N56" i="10"/>
  <c r="AP56" i="12"/>
  <c r="T157" i="12" s="1"/>
  <c r="C157" i="12"/>
  <c r="E157" i="12" s="1"/>
  <c r="F157" i="12" s="1"/>
  <c r="C157" i="10"/>
  <c r="C157" i="3"/>
  <c r="S157" i="12"/>
  <c r="U157" i="12" s="1"/>
  <c r="V157" i="12" s="1"/>
  <c r="S157" i="10"/>
  <c r="U157" i="10" s="1"/>
  <c r="V157" i="10" s="1"/>
  <c r="S157" i="3"/>
  <c r="G58" i="12"/>
  <c r="H58" i="12" s="1"/>
  <c r="I58" i="12" s="1"/>
  <c r="G58" i="10"/>
  <c r="H58" i="10" s="1"/>
  <c r="I58" i="10" s="1"/>
  <c r="O58" i="12"/>
  <c r="P58" i="12" s="1"/>
  <c r="Q58" i="12" s="1"/>
  <c r="O58" i="10"/>
  <c r="P58" i="10" s="1"/>
  <c r="Q58" i="10" s="1"/>
  <c r="G157" i="12"/>
  <c r="G157" i="10"/>
  <c r="I157" i="10" s="1"/>
  <c r="J157" i="10" s="1"/>
  <c r="G157" i="3"/>
  <c r="Z56" i="12"/>
  <c r="L157" i="12" s="1"/>
  <c r="AA58" i="12"/>
  <c r="K58" i="12"/>
  <c r="AI58" i="12"/>
  <c r="AQ58" i="12"/>
  <c r="C58" i="12"/>
  <c r="AY58" i="12"/>
  <c r="S58" i="12"/>
  <c r="BG58" i="12"/>
  <c r="I156" i="3"/>
  <c r="J156" i="3" s="1"/>
  <c r="F56" i="12"/>
  <c r="Q156" i="3"/>
  <c r="R156" i="3" s="1"/>
  <c r="L57" i="12"/>
  <c r="M57" i="12" s="1"/>
  <c r="R57" i="12" s="1"/>
  <c r="H158" i="12" s="1"/>
  <c r="T57" i="12"/>
  <c r="U57" i="12" s="1"/>
  <c r="V57" i="12" s="1"/>
  <c r="Z57" i="12"/>
  <c r="L158" i="12" s="1"/>
  <c r="BB56" i="10"/>
  <c r="AG156" i="3"/>
  <c r="AH156" i="3" s="1"/>
  <c r="L57" i="10"/>
  <c r="M57" i="10" s="1"/>
  <c r="N57" i="10" s="1"/>
  <c r="D57" i="10"/>
  <c r="E57" i="10" s="1"/>
  <c r="J57" i="10" s="1"/>
  <c r="D158" i="10" s="1"/>
  <c r="AC156" i="3"/>
  <c r="AD156" i="3" s="1"/>
  <c r="AE58" i="12"/>
  <c r="AF58" i="12" s="1"/>
  <c r="AG58" i="12" s="1"/>
  <c r="AE58" i="10"/>
  <c r="AF58" i="10" s="1"/>
  <c r="AG58" i="10" s="1"/>
  <c r="W157" i="12"/>
  <c r="Y157" i="12" s="1"/>
  <c r="Z157" i="12" s="1"/>
  <c r="W157" i="10"/>
  <c r="Y157" i="10" s="1"/>
  <c r="Z157" i="10" s="1"/>
  <c r="W157" i="3"/>
  <c r="AM58" i="12"/>
  <c r="AN58" i="12" s="1"/>
  <c r="AO58" i="12" s="1"/>
  <c r="AM58" i="10"/>
  <c r="AN58" i="10" s="1"/>
  <c r="AO58" i="10" s="1"/>
  <c r="AU58" i="12"/>
  <c r="AV58" i="12" s="1"/>
  <c r="AW58" i="12" s="1"/>
  <c r="AU58" i="10"/>
  <c r="AV58" i="10" s="1"/>
  <c r="AW58" i="10" s="1"/>
  <c r="A59" i="12"/>
  <c r="A59" i="10"/>
  <c r="U156" i="3"/>
  <c r="V156" i="3" s="1"/>
  <c r="AZ57" i="12"/>
  <c r="BA57" i="12" s="1"/>
  <c r="BB57" i="12" s="1"/>
  <c r="AB57" i="12"/>
  <c r="AC57" i="12" s="1"/>
  <c r="AH57" i="12" s="1"/>
  <c r="P158" i="12" s="1"/>
  <c r="AT56" i="10"/>
  <c r="T57" i="10"/>
  <c r="U57" i="10" s="1"/>
  <c r="V57" i="10" s="1"/>
  <c r="AJ57" i="10"/>
  <c r="AK57" i="10" s="1"/>
  <c r="AL57" i="10" s="1"/>
  <c r="BF56" i="12"/>
  <c r="AB157" i="12" s="1"/>
  <c r="BK58" i="12"/>
  <c r="BL58" i="12" s="1"/>
  <c r="BM58" i="12" s="1"/>
  <c r="BK58" i="10"/>
  <c r="BL58" i="10" s="1"/>
  <c r="BM58" i="10" s="1"/>
  <c r="O157" i="12"/>
  <c r="Q157" i="12" s="1"/>
  <c r="R157" i="12" s="1"/>
  <c r="O157" i="10"/>
  <c r="Q157" i="10" s="1"/>
  <c r="R157" i="10" s="1"/>
  <c r="O157" i="3"/>
  <c r="AE157" i="12"/>
  <c r="AG157" i="12" s="1"/>
  <c r="AH157" i="12" s="1"/>
  <c r="AE157" i="10"/>
  <c r="AG157" i="10" s="1"/>
  <c r="AH157" i="10" s="1"/>
  <c r="AE157" i="3"/>
  <c r="BJ56" i="10"/>
  <c r="AR57" i="12"/>
  <c r="AS57" i="12" s="1"/>
  <c r="AT57" i="12" s="1"/>
  <c r="AJ57" i="12"/>
  <c r="AK57" i="12" s="1"/>
  <c r="AP57" i="12" s="1"/>
  <c r="T158" i="12" s="1"/>
  <c r="BJ56" i="12"/>
  <c r="AZ57" i="10"/>
  <c r="BA57" i="10" s="1"/>
  <c r="BF57" i="10" s="1"/>
  <c r="AB158" i="10" s="1"/>
  <c r="AB57" i="10"/>
  <c r="AC57" i="10" s="1"/>
  <c r="AD57" i="10" s="1"/>
  <c r="AC156" i="12"/>
  <c r="AD156" i="12" s="1"/>
  <c r="K157" i="12"/>
  <c r="M157" i="12" s="1"/>
  <c r="N157" i="12" s="1"/>
  <c r="K157" i="10"/>
  <c r="M157" i="10" s="1"/>
  <c r="N157" i="10" s="1"/>
  <c r="K157" i="3"/>
  <c r="W58" i="12"/>
  <c r="X58" i="12" s="1"/>
  <c r="Y58" i="12" s="1"/>
  <c r="W58" i="10"/>
  <c r="X58" i="10" s="1"/>
  <c r="Y58" i="10" s="1"/>
  <c r="BC58" i="12"/>
  <c r="BD58" i="12" s="1"/>
  <c r="BE58" i="12" s="1"/>
  <c r="BC58" i="10"/>
  <c r="BD58" i="10" s="1"/>
  <c r="BE58" i="10" s="1"/>
  <c r="AG70" i="2"/>
  <c r="AH70" i="2" s="1"/>
  <c r="AA157" i="12"/>
  <c r="AC157" i="12" s="1"/>
  <c r="AD157" i="12" s="1"/>
  <c r="AA157" i="10"/>
  <c r="AC157" i="10" s="1"/>
  <c r="AD157" i="10" s="1"/>
  <c r="AA157" i="3"/>
  <c r="Y156" i="3"/>
  <c r="Z156" i="3" s="1"/>
  <c r="AI58" i="10"/>
  <c r="S58" i="10"/>
  <c r="BG58" i="10"/>
  <c r="AQ58" i="10"/>
  <c r="AA58" i="10"/>
  <c r="C58" i="10"/>
  <c r="AY58" i="10"/>
  <c r="K58" i="10"/>
  <c r="BH57" i="12"/>
  <c r="BI57" i="12" s="1"/>
  <c r="BN57" i="12" s="1"/>
  <c r="AF158" i="12" s="1"/>
  <c r="D57" i="12"/>
  <c r="E57" i="12" s="1"/>
  <c r="F57" i="12" s="1"/>
  <c r="M156" i="3"/>
  <c r="N156" i="3" s="1"/>
  <c r="AR57" i="10"/>
  <c r="AS57" i="10" s="1"/>
  <c r="AT57" i="10" s="1"/>
  <c r="BH57" i="10"/>
  <c r="BI57" i="10" s="1"/>
  <c r="BN57" i="10" s="1"/>
  <c r="AF158" i="10" s="1"/>
  <c r="E156" i="3"/>
  <c r="F156" i="3" s="1"/>
  <c r="BN56" i="3"/>
  <c r="AF157" i="3" s="1"/>
  <c r="AX56" i="3"/>
  <c r="X157" i="3" s="1"/>
  <c r="BJ56" i="3"/>
  <c r="Z56" i="3"/>
  <c r="L157" i="3" s="1"/>
  <c r="N56" i="3"/>
  <c r="BB56" i="3"/>
  <c r="AL56" i="3"/>
  <c r="F56" i="3"/>
  <c r="AH56" i="3"/>
  <c r="P157" i="3" s="1"/>
  <c r="AT56" i="3"/>
  <c r="J56" i="3"/>
  <c r="D157" i="3" s="1"/>
  <c r="BF56" i="3"/>
  <c r="AB157" i="3" s="1"/>
  <c r="AS70" i="2"/>
  <c r="AT70" i="2" s="1"/>
  <c r="AY70" i="2"/>
  <c r="AZ70" i="2" s="1"/>
  <c r="W58" i="3"/>
  <c r="X58" i="3" s="1"/>
  <c r="Y58" i="3" s="1"/>
  <c r="W71" i="2"/>
  <c r="Y71" i="2"/>
  <c r="BC58" i="3"/>
  <c r="BD58" i="3" s="1"/>
  <c r="BE58" i="3" s="1"/>
  <c r="AU71" i="2"/>
  <c r="AW71" i="2"/>
  <c r="L70" i="2"/>
  <c r="O70" i="2"/>
  <c r="P70" i="2" s="1"/>
  <c r="AR57" i="3"/>
  <c r="AS57" i="3" s="1"/>
  <c r="D57" i="3"/>
  <c r="E57" i="3" s="1"/>
  <c r="E52" i="22" s="1"/>
  <c r="AM70" i="2"/>
  <c r="AN70" i="2" s="1"/>
  <c r="AD56" i="3"/>
  <c r="O58" i="3"/>
  <c r="P58" i="3" s="1"/>
  <c r="Q58" i="3" s="1"/>
  <c r="Q71" i="2"/>
  <c r="S71" i="2"/>
  <c r="BH57" i="3"/>
  <c r="BI57" i="3" s="1"/>
  <c r="AJ57" i="3"/>
  <c r="AK57" i="3" s="1"/>
  <c r="G58" i="3"/>
  <c r="H58" i="3" s="1"/>
  <c r="I58" i="3" s="1"/>
  <c r="K71" i="2"/>
  <c r="M71" i="2"/>
  <c r="N71" i="2" s="1"/>
  <c r="S58" i="3"/>
  <c r="AA58" i="3"/>
  <c r="AI58" i="3"/>
  <c r="AQ58" i="3"/>
  <c r="C58" i="3"/>
  <c r="K58" i="3"/>
  <c r="BG58" i="3"/>
  <c r="AY58" i="3"/>
  <c r="U70" i="2"/>
  <c r="V70" i="2" s="1"/>
  <c r="AM58" i="3"/>
  <c r="AN58" i="3" s="1"/>
  <c r="AO58" i="3" s="1"/>
  <c r="AI71" i="2"/>
  <c r="AK71" i="2"/>
  <c r="AU58" i="3"/>
  <c r="AV58" i="3" s="1"/>
  <c r="AW58" i="3" s="1"/>
  <c r="AO71" i="2"/>
  <c r="AQ71" i="2"/>
  <c r="A59" i="3"/>
  <c r="G72" i="2"/>
  <c r="H72" i="2"/>
  <c r="I72" i="2"/>
  <c r="D72" i="2"/>
  <c r="E72" i="2"/>
  <c r="C72" i="2"/>
  <c r="B72" i="2"/>
  <c r="A73" i="2"/>
  <c r="F72" i="2"/>
  <c r="V56" i="3"/>
  <c r="AP56" i="3"/>
  <c r="T157" i="3" s="1"/>
  <c r="T57" i="3"/>
  <c r="U57" i="3" s="1"/>
  <c r="AB57" i="3"/>
  <c r="AC57" i="3" s="1"/>
  <c r="R56" i="3"/>
  <c r="H157" i="3" s="1"/>
  <c r="AE58" i="3"/>
  <c r="AF58" i="3" s="1"/>
  <c r="AG58" i="3" s="1"/>
  <c r="AC71" i="2"/>
  <c r="AE71" i="2"/>
  <c r="BC71" i="2"/>
  <c r="BK58" i="3"/>
  <c r="BL58" i="3" s="1"/>
  <c r="BM58" i="3" s="1"/>
  <c r="BA71" i="2"/>
  <c r="BE70" i="2"/>
  <c r="BF70" i="2" s="1"/>
  <c r="L57" i="3"/>
  <c r="M57" i="3" s="1"/>
  <c r="AZ57" i="3"/>
  <c r="BA57" i="3" s="1"/>
  <c r="J57" i="12" l="1"/>
  <c r="D158" i="12" s="1"/>
  <c r="K158" i="12"/>
  <c r="M158" i="12" s="1"/>
  <c r="N158" i="12" s="1"/>
  <c r="E157" i="10"/>
  <c r="F157" i="10" s="1"/>
  <c r="BJ57" i="12"/>
  <c r="AX57" i="12"/>
  <c r="X158" i="12" s="1"/>
  <c r="A66" i="19"/>
  <c r="K65" i="19"/>
  <c r="H65" i="19"/>
  <c r="L65" i="19"/>
  <c r="I65" i="19"/>
  <c r="J65" i="19"/>
  <c r="E65" i="19"/>
  <c r="B65" i="19"/>
  <c r="F65" i="19"/>
  <c r="C65" i="19"/>
  <c r="D65" i="19"/>
  <c r="AX57" i="10"/>
  <c r="X158" i="10" s="1"/>
  <c r="BF57" i="12"/>
  <c r="AB158" i="12" s="1"/>
  <c r="K158" i="3"/>
  <c r="Z57" i="10"/>
  <c r="L158" i="10" s="1"/>
  <c r="M158" i="10" s="1"/>
  <c r="N158" i="10" s="1"/>
  <c r="AD57" i="12"/>
  <c r="I157" i="12"/>
  <c r="J157" i="12" s="1"/>
  <c r="AP57" i="10"/>
  <c r="T158" i="10" s="1"/>
  <c r="F57" i="10"/>
  <c r="A60" i="12"/>
  <c r="A60" i="10"/>
  <c r="W59" i="12"/>
  <c r="X59" i="12" s="1"/>
  <c r="Y59" i="12" s="1"/>
  <c r="W59" i="10"/>
  <c r="X59" i="10" s="1"/>
  <c r="Y59" i="10" s="1"/>
  <c r="C158" i="12"/>
  <c r="E158" i="12" s="1"/>
  <c r="F158" i="12" s="1"/>
  <c r="C158" i="10"/>
  <c r="E158" i="10" s="1"/>
  <c r="F158" i="10" s="1"/>
  <c r="C158" i="3"/>
  <c r="AA158" i="12"/>
  <c r="AC158" i="12" s="1"/>
  <c r="AD158" i="12" s="1"/>
  <c r="AA158" i="10"/>
  <c r="AC158" i="10" s="1"/>
  <c r="AD158" i="10" s="1"/>
  <c r="AA158" i="3"/>
  <c r="AZ58" i="10"/>
  <c r="BA58" i="10" s="1"/>
  <c r="BB58" i="10" s="1"/>
  <c r="BH58" i="10"/>
  <c r="BI58" i="10" s="1"/>
  <c r="BJ58" i="10" s="1"/>
  <c r="AC157" i="3"/>
  <c r="AD157" i="3" s="1"/>
  <c r="M157" i="3"/>
  <c r="N157" i="3" s="1"/>
  <c r="AH57" i="10"/>
  <c r="P158" i="10" s="1"/>
  <c r="BB57" i="10"/>
  <c r="AL57" i="12"/>
  <c r="AQ59" i="10"/>
  <c r="C59" i="10"/>
  <c r="AY59" i="10"/>
  <c r="BG59" i="10"/>
  <c r="AA59" i="10"/>
  <c r="AI59" i="10"/>
  <c r="K59" i="10"/>
  <c r="S59" i="10"/>
  <c r="R57" i="10"/>
  <c r="H158" i="10" s="1"/>
  <c r="N57" i="12"/>
  <c r="AZ58" i="12"/>
  <c r="BA58" i="12" s="1"/>
  <c r="BB58" i="12" s="1"/>
  <c r="L58" i="12"/>
  <c r="M58" i="12" s="1"/>
  <c r="N58" i="12" s="1"/>
  <c r="G59" i="12"/>
  <c r="H59" i="12" s="1"/>
  <c r="I59" i="12" s="1"/>
  <c r="G59" i="10"/>
  <c r="H59" i="10" s="1"/>
  <c r="I59" i="10" s="1"/>
  <c r="BK59" i="12"/>
  <c r="BL59" i="12" s="1"/>
  <c r="BM59" i="12" s="1"/>
  <c r="BK59" i="10"/>
  <c r="BL59" i="10" s="1"/>
  <c r="BM59" i="10" s="1"/>
  <c r="S158" i="12"/>
  <c r="U158" i="12" s="1"/>
  <c r="V158" i="12" s="1"/>
  <c r="S158" i="10"/>
  <c r="U158" i="10" s="1"/>
  <c r="V158" i="10" s="1"/>
  <c r="S158" i="3"/>
  <c r="W158" i="12"/>
  <c r="Y158" i="12" s="1"/>
  <c r="Z158" i="12" s="1"/>
  <c r="W158" i="10"/>
  <c r="Y158" i="10" s="1"/>
  <c r="Z158" i="10" s="1"/>
  <c r="W158" i="3"/>
  <c r="D58" i="10"/>
  <c r="E58" i="10" s="1"/>
  <c r="J58" i="10" s="1"/>
  <c r="D159" i="10" s="1"/>
  <c r="T58" i="10"/>
  <c r="U58" i="10" s="1"/>
  <c r="V58" i="10" s="1"/>
  <c r="Q157" i="3"/>
  <c r="R157" i="3" s="1"/>
  <c r="C59" i="12"/>
  <c r="AI59" i="12"/>
  <c r="AY59" i="12"/>
  <c r="S59" i="12"/>
  <c r="BG59" i="12"/>
  <c r="K59" i="12"/>
  <c r="AA59" i="12"/>
  <c r="AQ59" i="12"/>
  <c r="D58" i="12"/>
  <c r="E58" i="12" s="1"/>
  <c r="J58" i="12" s="1"/>
  <c r="D159" i="12" s="1"/>
  <c r="AB58" i="12"/>
  <c r="AC58" i="12" s="1"/>
  <c r="AH58" i="12" s="1"/>
  <c r="P159" i="12" s="1"/>
  <c r="E157" i="3"/>
  <c r="F157" i="3" s="1"/>
  <c r="O59" i="12"/>
  <c r="P59" i="12" s="1"/>
  <c r="Q59" i="12" s="1"/>
  <c r="O59" i="10"/>
  <c r="P59" i="10" s="1"/>
  <c r="Q59" i="10" s="1"/>
  <c r="BC59" i="12"/>
  <c r="BD59" i="12" s="1"/>
  <c r="BE59" i="12" s="1"/>
  <c r="BC59" i="10"/>
  <c r="BD59" i="10" s="1"/>
  <c r="BE59" i="10" s="1"/>
  <c r="AB58" i="10"/>
  <c r="AC58" i="10" s="1"/>
  <c r="AH58" i="10" s="1"/>
  <c r="P159" i="10" s="1"/>
  <c r="AJ58" i="10"/>
  <c r="AK58" i="10" s="1"/>
  <c r="AP58" i="10" s="1"/>
  <c r="T159" i="10" s="1"/>
  <c r="AG157" i="3"/>
  <c r="AH157" i="3" s="1"/>
  <c r="Y157" i="3"/>
  <c r="Z157" i="3" s="1"/>
  <c r="BH58" i="12"/>
  <c r="BI58" i="12" s="1"/>
  <c r="BN58" i="12" s="1"/>
  <c r="AF159" i="12" s="1"/>
  <c r="AR58" i="12"/>
  <c r="AS58" i="12" s="1"/>
  <c r="AX58" i="12" s="1"/>
  <c r="X159" i="12" s="1"/>
  <c r="U157" i="3"/>
  <c r="V157" i="3" s="1"/>
  <c r="AE158" i="12"/>
  <c r="AG158" i="12" s="1"/>
  <c r="AH158" i="12" s="1"/>
  <c r="AE158" i="10"/>
  <c r="AG158" i="10" s="1"/>
  <c r="AH158" i="10" s="1"/>
  <c r="AE158" i="3"/>
  <c r="AM59" i="12"/>
  <c r="AN59" i="12" s="1"/>
  <c r="AO59" i="12" s="1"/>
  <c r="AM59" i="10"/>
  <c r="AN59" i="10" s="1"/>
  <c r="AO59" i="10" s="1"/>
  <c r="AE59" i="12"/>
  <c r="AF59" i="12" s="1"/>
  <c r="AG59" i="12" s="1"/>
  <c r="AE59" i="10"/>
  <c r="AF59" i="10" s="1"/>
  <c r="AG59" i="10" s="1"/>
  <c r="AU59" i="12"/>
  <c r="AV59" i="12" s="1"/>
  <c r="AW59" i="12" s="1"/>
  <c r="AU59" i="10"/>
  <c r="AV59" i="10" s="1"/>
  <c r="AW59" i="10" s="1"/>
  <c r="G158" i="12"/>
  <c r="I158" i="12" s="1"/>
  <c r="J158" i="12" s="1"/>
  <c r="G158" i="10"/>
  <c r="I158" i="10" s="1"/>
  <c r="J158" i="10" s="1"/>
  <c r="G158" i="3"/>
  <c r="BJ57" i="10"/>
  <c r="L58" i="10"/>
  <c r="M58" i="10" s="1"/>
  <c r="R58" i="10" s="1"/>
  <c r="H159" i="10" s="1"/>
  <c r="AR58" i="10"/>
  <c r="AS58" i="10" s="1"/>
  <c r="AX58" i="10" s="1"/>
  <c r="X159" i="10" s="1"/>
  <c r="O158" i="12"/>
  <c r="Q158" i="12" s="1"/>
  <c r="R158" i="12" s="1"/>
  <c r="O158" i="10"/>
  <c r="Q158" i="10" s="1"/>
  <c r="R158" i="10" s="1"/>
  <c r="O158" i="3"/>
  <c r="T58" i="12"/>
  <c r="U58" i="12" s="1"/>
  <c r="V58" i="12" s="1"/>
  <c r="AJ58" i="12"/>
  <c r="AK58" i="12" s="1"/>
  <c r="AL58" i="12" s="1"/>
  <c r="I157" i="3"/>
  <c r="J157" i="3" s="1"/>
  <c r="AD57" i="3"/>
  <c r="AP57" i="3"/>
  <c r="T158" i="3" s="1"/>
  <c r="AT57" i="3"/>
  <c r="BJ57" i="3"/>
  <c r="N57" i="3"/>
  <c r="J57" i="3"/>
  <c r="D158" i="3" s="1"/>
  <c r="V57" i="3"/>
  <c r="BB57" i="3"/>
  <c r="F57" i="3"/>
  <c r="AS71" i="2"/>
  <c r="AT71" i="2" s="1"/>
  <c r="AM71" i="2"/>
  <c r="AN71" i="2" s="1"/>
  <c r="U71" i="2"/>
  <c r="V71" i="2" s="1"/>
  <c r="AX57" i="3"/>
  <c r="X158" i="3" s="1"/>
  <c r="AY71" i="2"/>
  <c r="AZ71" i="2" s="1"/>
  <c r="R57" i="3"/>
  <c r="H158" i="3" s="1"/>
  <c r="BG70" i="2"/>
  <c r="BE71" i="2"/>
  <c r="BF71" i="2" s="1"/>
  <c r="AG71" i="2"/>
  <c r="AH71" i="2" s="1"/>
  <c r="AH57" i="3"/>
  <c r="P158" i="3" s="1"/>
  <c r="O59" i="3"/>
  <c r="P59" i="3" s="1"/>
  <c r="Q59" i="3" s="1"/>
  <c r="Q72" i="2"/>
  <c r="S72" i="2"/>
  <c r="BC59" i="3"/>
  <c r="BD59" i="3" s="1"/>
  <c r="BE59" i="3" s="1"/>
  <c r="AU72" i="2"/>
  <c r="AW72" i="2"/>
  <c r="L58" i="3"/>
  <c r="M58" i="3" s="1"/>
  <c r="AB58" i="3"/>
  <c r="AC58" i="3" s="1"/>
  <c r="BN57" i="3"/>
  <c r="AF158" i="3" s="1"/>
  <c r="AA71" i="2"/>
  <c r="AB71" i="2" s="1"/>
  <c r="AM59" i="3"/>
  <c r="AN59" i="3" s="1"/>
  <c r="AO59" i="3" s="1"/>
  <c r="AI72" i="2"/>
  <c r="AK72" i="2"/>
  <c r="AU59" i="3"/>
  <c r="AV59" i="3" s="1"/>
  <c r="AW59" i="3" s="1"/>
  <c r="AO72" i="2"/>
  <c r="AQ72" i="2"/>
  <c r="T58" i="3"/>
  <c r="U58" i="3" s="1"/>
  <c r="AE59" i="3"/>
  <c r="AF59" i="3" s="1"/>
  <c r="AG59" i="3" s="1"/>
  <c r="AC72" i="2"/>
  <c r="AE72" i="2"/>
  <c r="D58" i="3"/>
  <c r="E58" i="3" s="1"/>
  <c r="E53" i="22" s="1"/>
  <c r="BF57" i="3"/>
  <c r="AB158" i="3" s="1"/>
  <c r="Z57" i="3"/>
  <c r="L158" i="3" s="1"/>
  <c r="M158" i="3" s="1"/>
  <c r="N158" i="3" s="1"/>
  <c r="A74" i="2"/>
  <c r="A60" i="3"/>
  <c r="H73" i="2"/>
  <c r="I73" i="2"/>
  <c r="G73" i="2"/>
  <c r="F73" i="2"/>
  <c r="C73" i="2"/>
  <c r="B73" i="2"/>
  <c r="D73" i="2"/>
  <c r="E73" i="2"/>
  <c r="W59" i="3"/>
  <c r="X59" i="3" s="1"/>
  <c r="Y59" i="3" s="1"/>
  <c r="W72" i="2"/>
  <c r="Y72" i="2"/>
  <c r="AA59" i="3"/>
  <c r="BG59" i="3"/>
  <c r="AQ59" i="3"/>
  <c r="AY59" i="3"/>
  <c r="C59" i="3"/>
  <c r="AI59" i="3"/>
  <c r="K59" i="3"/>
  <c r="S59" i="3"/>
  <c r="AZ58" i="3"/>
  <c r="BA58" i="3" s="1"/>
  <c r="AR58" i="3"/>
  <c r="AS58" i="3" s="1"/>
  <c r="AL57" i="3"/>
  <c r="G59" i="3"/>
  <c r="H59" i="3" s="1"/>
  <c r="I59" i="3" s="1"/>
  <c r="K72" i="2"/>
  <c r="M72" i="2"/>
  <c r="N72" i="2" s="1"/>
  <c r="BC72" i="2"/>
  <c r="BK59" i="3"/>
  <c r="BL59" i="3" s="1"/>
  <c r="BM59" i="3" s="1"/>
  <c r="BA72" i="2"/>
  <c r="BH58" i="3"/>
  <c r="BI58" i="3" s="1"/>
  <c r="AJ58" i="3"/>
  <c r="AK58" i="3" s="1"/>
  <c r="L71" i="2"/>
  <c r="O71" i="2"/>
  <c r="P71" i="2" s="1"/>
  <c r="AA72" i="2" l="1"/>
  <c r="AB72" i="2" s="1"/>
  <c r="AT58" i="10"/>
  <c r="AD58" i="10"/>
  <c r="F58" i="10"/>
  <c r="AT58" i="12"/>
  <c r="BF58" i="12"/>
  <c r="AB159" i="12" s="1"/>
  <c r="A67" i="19"/>
  <c r="J66" i="19"/>
  <c r="K66" i="19"/>
  <c r="H66" i="19"/>
  <c r="L66" i="19"/>
  <c r="I66" i="19"/>
  <c r="D66" i="19"/>
  <c r="E66" i="19"/>
  <c r="B66" i="19"/>
  <c r="F66" i="19"/>
  <c r="C66" i="19"/>
  <c r="BN58" i="10"/>
  <c r="AF159" i="10" s="1"/>
  <c r="AL58" i="10"/>
  <c r="AP58" i="12"/>
  <c r="T159" i="12" s="1"/>
  <c r="N58" i="10"/>
  <c r="W60" i="12"/>
  <c r="X60" i="12" s="1"/>
  <c r="Y60" i="12" s="1"/>
  <c r="W60" i="10"/>
  <c r="X60" i="10" s="1"/>
  <c r="Y60" i="10" s="1"/>
  <c r="AU60" i="12"/>
  <c r="AV60" i="12" s="1"/>
  <c r="AW60" i="12" s="1"/>
  <c r="AU60" i="10"/>
  <c r="AV60" i="10" s="1"/>
  <c r="AW60" i="10" s="1"/>
  <c r="A61" i="12"/>
  <c r="A61" i="10"/>
  <c r="S159" i="12"/>
  <c r="U159" i="12" s="1"/>
  <c r="V159" i="12" s="1"/>
  <c r="S159" i="10"/>
  <c r="U159" i="10" s="1"/>
  <c r="V159" i="10" s="1"/>
  <c r="S159" i="3"/>
  <c r="Z58" i="12"/>
  <c r="L159" i="12" s="1"/>
  <c r="I158" i="3"/>
  <c r="J158" i="3" s="1"/>
  <c r="BJ58" i="12"/>
  <c r="AD58" i="12"/>
  <c r="BH59" i="12"/>
  <c r="BI59" i="12" s="1"/>
  <c r="BJ59" i="12" s="1"/>
  <c r="BN59" i="12"/>
  <c r="AF160" i="12" s="1"/>
  <c r="D59" i="12"/>
  <c r="E59" i="12" s="1"/>
  <c r="F59" i="12" s="1"/>
  <c r="Y158" i="3"/>
  <c r="Z158" i="3" s="1"/>
  <c r="AJ59" i="10"/>
  <c r="AK59" i="10" s="1"/>
  <c r="AP59" i="10" s="1"/>
  <c r="T160" i="10" s="1"/>
  <c r="D59" i="10"/>
  <c r="E59" i="10" s="1"/>
  <c r="F59" i="10" s="1"/>
  <c r="BF58" i="10"/>
  <c r="AB159" i="10" s="1"/>
  <c r="G60" i="12"/>
  <c r="H60" i="12" s="1"/>
  <c r="I60" i="12" s="1"/>
  <c r="G60" i="10"/>
  <c r="H60" i="10" s="1"/>
  <c r="I60" i="10" s="1"/>
  <c r="BK60" i="12"/>
  <c r="BL60" i="12" s="1"/>
  <c r="BM60" i="12" s="1"/>
  <c r="BK60" i="10"/>
  <c r="BL60" i="10" s="1"/>
  <c r="BM60" i="10" s="1"/>
  <c r="O159" i="12"/>
  <c r="Q159" i="12" s="1"/>
  <c r="R159" i="12" s="1"/>
  <c r="O159" i="10"/>
  <c r="Q159" i="10" s="1"/>
  <c r="R159" i="10" s="1"/>
  <c r="O159" i="3"/>
  <c r="AA159" i="12"/>
  <c r="AC159" i="12" s="1"/>
  <c r="AD159" i="12" s="1"/>
  <c r="AA159" i="10"/>
  <c r="AC159" i="10" s="1"/>
  <c r="AD159" i="10" s="1"/>
  <c r="AA159" i="3"/>
  <c r="W159" i="12"/>
  <c r="Y159" i="12" s="1"/>
  <c r="Z159" i="12" s="1"/>
  <c r="W159" i="10"/>
  <c r="Y159" i="10" s="1"/>
  <c r="Z159" i="10" s="1"/>
  <c r="W159" i="3"/>
  <c r="AG158" i="3"/>
  <c r="AH158" i="3" s="1"/>
  <c r="AR59" i="12"/>
  <c r="AS59" i="12" s="1"/>
  <c r="AT59" i="12" s="1"/>
  <c r="T59" i="12"/>
  <c r="U59" i="12" s="1"/>
  <c r="Z59" i="12" s="1"/>
  <c r="L160" i="12" s="1"/>
  <c r="AB59" i="10"/>
  <c r="AC59" i="10" s="1"/>
  <c r="AH59" i="10" s="1"/>
  <c r="P160" i="10" s="1"/>
  <c r="AR59" i="10"/>
  <c r="AS59" i="10" s="1"/>
  <c r="AX59" i="10" s="1"/>
  <c r="X160" i="10" s="1"/>
  <c r="E158" i="3"/>
  <c r="F158" i="3" s="1"/>
  <c r="O60" i="12"/>
  <c r="P60" i="12" s="1"/>
  <c r="Q60" i="12" s="1"/>
  <c r="O60" i="10"/>
  <c r="P60" i="10" s="1"/>
  <c r="Q60" i="10" s="1"/>
  <c r="BC60" i="12"/>
  <c r="BD60" i="12" s="1"/>
  <c r="BE60" i="12" s="1"/>
  <c r="BC60" i="10"/>
  <c r="BD60" i="10" s="1"/>
  <c r="BE60" i="10" s="1"/>
  <c r="K159" i="12"/>
  <c r="M159" i="12" s="1"/>
  <c r="N159" i="12" s="1"/>
  <c r="K159" i="10"/>
  <c r="K159" i="3"/>
  <c r="AE159" i="12"/>
  <c r="AG159" i="12" s="1"/>
  <c r="AH159" i="12" s="1"/>
  <c r="AE159" i="10"/>
  <c r="AG159" i="10" s="1"/>
  <c r="AH159" i="10" s="1"/>
  <c r="AE159" i="3"/>
  <c r="Q158" i="3"/>
  <c r="R158" i="3" s="1"/>
  <c r="F58" i="12"/>
  <c r="AB59" i="12"/>
  <c r="AC59" i="12" s="1"/>
  <c r="AD59" i="12" s="1"/>
  <c r="AZ59" i="12"/>
  <c r="BA59" i="12" s="1"/>
  <c r="BB59" i="12" s="1"/>
  <c r="Z58" i="10"/>
  <c r="L159" i="10" s="1"/>
  <c r="R58" i="12"/>
  <c r="H159" i="12" s="1"/>
  <c r="T59" i="10"/>
  <c r="U59" i="10" s="1"/>
  <c r="Z59" i="10" s="1"/>
  <c r="L160" i="10" s="1"/>
  <c r="BH59" i="10"/>
  <c r="BI59" i="10" s="1"/>
  <c r="BN59" i="10" s="1"/>
  <c r="AF160" i="10" s="1"/>
  <c r="AC158" i="3"/>
  <c r="AD158" i="3" s="1"/>
  <c r="K60" i="10"/>
  <c r="C60" i="10"/>
  <c r="AY60" i="10"/>
  <c r="BG60" i="10"/>
  <c r="AA60" i="10"/>
  <c r="AQ60" i="10"/>
  <c r="AI60" i="10"/>
  <c r="S60" i="10"/>
  <c r="K160" i="12"/>
  <c r="K160" i="10"/>
  <c r="K160" i="3"/>
  <c r="C159" i="12"/>
  <c r="E159" i="12" s="1"/>
  <c r="F159" i="12" s="1"/>
  <c r="C159" i="10"/>
  <c r="E159" i="10" s="1"/>
  <c r="F159" i="10" s="1"/>
  <c r="C159" i="3"/>
  <c r="AE60" i="12"/>
  <c r="AF60" i="12" s="1"/>
  <c r="AG60" i="12" s="1"/>
  <c r="AE60" i="10"/>
  <c r="AF60" i="10" s="1"/>
  <c r="AG60" i="10" s="1"/>
  <c r="AM60" i="12"/>
  <c r="AN60" i="12" s="1"/>
  <c r="AO60" i="12" s="1"/>
  <c r="AM60" i="10"/>
  <c r="AN60" i="10" s="1"/>
  <c r="AO60" i="10" s="1"/>
  <c r="G159" i="12"/>
  <c r="G159" i="10"/>
  <c r="I159" i="10" s="1"/>
  <c r="J159" i="10" s="1"/>
  <c r="G159" i="3"/>
  <c r="L59" i="12"/>
  <c r="M59" i="12" s="1"/>
  <c r="R59" i="12" s="1"/>
  <c r="H160" i="12" s="1"/>
  <c r="AJ59" i="12"/>
  <c r="AK59" i="12" s="1"/>
  <c r="AP59" i="12" s="1"/>
  <c r="T160" i="12" s="1"/>
  <c r="U158" i="3"/>
  <c r="V158" i="3" s="1"/>
  <c r="L59" i="10"/>
  <c r="M59" i="10" s="1"/>
  <c r="N59" i="10" s="1"/>
  <c r="AZ59" i="10"/>
  <c r="BA59" i="10" s="1"/>
  <c r="BF59" i="10" s="1"/>
  <c r="AB160" i="10" s="1"/>
  <c r="C60" i="12"/>
  <c r="AI60" i="12"/>
  <c r="K60" i="12"/>
  <c r="AQ60" i="12"/>
  <c r="AY60" i="12"/>
  <c r="S60" i="12"/>
  <c r="AA60" i="12"/>
  <c r="BG60" i="12"/>
  <c r="Z58" i="3"/>
  <c r="L159" i="3" s="1"/>
  <c r="M159" i="3" s="1"/>
  <c r="N159" i="3" s="1"/>
  <c r="AH58" i="3"/>
  <c r="P159" i="3" s="1"/>
  <c r="BF58" i="3"/>
  <c r="AB159" i="3" s="1"/>
  <c r="J58" i="3"/>
  <c r="D159" i="3" s="1"/>
  <c r="AL58" i="3"/>
  <c r="N58" i="3"/>
  <c r="BJ58" i="3"/>
  <c r="AT58" i="3"/>
  <c r="BE72" i="2"/>
  <c r="BF72" i="2" s="1"/>
  <c r="AS72" i="2"/>
  <c r="AT72" i="2" s="1"/>
  <c r="AM72" i="2"/>
  <c r="AN72" i="2" s="1"/>
  <c r="V58" i="3"/>
  <c r="AX58" i="3"/>
  <c r="X159" i="3" s="1"/>
  <c r="Y159" i="3" s="1"/>
  <c r="Z159" i="3" s="1"/>
  <c r="L59" i="3"/>
  <c r="M59" i="3" s="1"/>
  <c r="AR59" i="3"/>
  <c r="AS59" i="3" s="1"/>
  <c r="BN58" i="3"/>
  <c r="AF159" i="3" s="1"/>
  <c r="AG159" i="3" s="1"/>
  <c r="AH159" i="3" s="1"/>
  <c r="BB58" i="3"/>
  <c r="AJ59" i="3"/>
  <c r="AK59" i="3" s="1"/>
  <c r="BH59" i="3"/>
  <c r="BI59" i="3" s="1"/>
  <c r="O60" i="3"/>
  <c r="P60" i="3" s="1"/>
  <c r="Q60" i="3" s="1"/>
  <c r="Q73" i="2"/>
  <c r="S73" i="2"/>
  <c r="BC60" i="3"/>
  <c r="BD60" i="3" s="1"/>
  <c r="BE60" i="3" s="1"/>
  <c r="AU73" i="2"/>
  <c r="AW73" i="2"/>
  <c r="AG72" i="2"/>
  <c r="AH72" i="2" s="1"/>
  <c r="R58" i="3"/>
  <c r="H159" i="3" s="1"/>
  <c r="U72" i="2"/>
  <c r="V72" i="2" s="1"/>
  <c r="BG72" i="2"/>
  <c r="D59" i="3"/>
  <c r="E59" i="3" s="1"/>
  <c r="E54" i="22" s="1"/>
  <c r="AB59" i="3"/>
  <c r="AC59" i="3" s="1"/>
  <c r="AE60" i="3"/>
  <c r="AF60" i="3" s="1"/>
  <c r="AG60" i="3" s="1"/>
  <c r="AC73" i="2"/>
  <c r="AE73" i="2"/>
  <c r="AM60" i="3"/>
  <c r="AN60" i="3" s="1"/>
  <c r="AO60" i="3" s="1"/>
  <c r="AI73" i="2"/>
  <c r="AK73" i="2"/>
  <c r="C60" i="3"/>
  <c r="K60" i="3"/>
  <c r="AA60" i="3"/>
  <c r="AI60" i="3"/>
  <c r="AY60" i="3"/>
  <c r="BG60" i="3"/>
  <c r="AQ60" i="3"/>
  <c r="S60" i="3"/>
  <c r="BG71" i="2"/>
  <c r="L72" i="2"/>
  <c r="O72" i="2"/>
  <c r="P72" i="2" s="1"/>
  <c r="AP58" i="3"/>
  <c r="T159" i="3" s="1"/>
  <c r="U159" i="3" s="1"/>
  <c r="V159" i="3" s="1"/>
  <c r="T59" i="3"/>
  <c r="U59" i="3" s="1"/>
  <c r="AZ59" i="3"/>
  <c r="BA59" i="3" s="1"/>
  <c r="W60" i="3"/>
  <c r="X60" i="3" s="1"/>
  <c r="Y60" i="3" s="1"/>
  <c r="W73" i="2"/>
  <c r="Y73" i="2"/>
  <c r="AU60" i="3"/>
  <c r="AV60" i="3" s="1"/>
  <c r="AW60" i="3" s="1"/>
  <c r="AO73" i="2"/>
  <c r="AQ73" i="2"/>
  <c r="A75" i="2"/>
  <c r="A61" i="3"/>
  <c r="G74" i="2"/>
  <c r="H74" i="2"/>
  <c r="I74" i="2"/>
  <c r="F74" i="2"/>
  <c r="D74" i="2"/>
  <c r="E74" i="2"/>
  <c r="C74" i="2"/>
  <c r="B74" i="2"/>
  <c r="F58" i="3"/>
  <c r="AD58" i="3"/>
  <c r="AY72" i="2"/>
  <c r="AZ72" i="2" s="1"/>
  <c r="G60" i="3"/>
  <c r="H60" i="3" s="1"/>
  <c r="I60" i="3" s="1"/>
  <c r="K73" i="2"/>
  <c r="M73" i="2"/>
  <c r="N73" i="2" s="1"/>
  <c r="BC73" i="2"/>
  <c r="BK60" i="3"/>
  <c r="BL60" i="3" s="1"/>
  <c r="BM60" i="3" s="1"/>
  <c r="BA73" i="2"/>
  <c r="I159" i="12" l="1"/>
  <c r="J159" i="12" s="1"/>
  <c r="A68" i="19"/>
  <c r="I67" i="19"/>
  <c r="J67" i="19"/>
  <c r="K67" i="19"/>
  <c r="H67" i="19"/>
  <c r="L67" i="19"/>
  <c r="C67" i="19"/>
  <c r="D67" i="19"/>
  <c r="E67" i="19"/>
  <c r="B67" i="19"/>
  <c r="F67" i="19"/>
  <c r="N59" i="12"/>
  <c r="V59" i="12"/>
  <c r="AM73" i="2"/>
  <c r="AN73" i="2" s="1"/>
  <c r="S161" i="10" s="1"/>
  <c r="V59" i="10"/>
  <c r="M159" i="10"/>
  <c r="N159" i="10" s="1"/>
  <c r="AX59" i="12"/>
  <c r="X160" i="12" s="1"/>
  <c r="M160" i="12"/>
  <c r="N160" i="12" s="1"/>
  <c r="BF59" i="12"/>
  <c r="AB160" i="12" s="1"/>
  <c r="AT59" i="10"/>
  <c r="AU61" i="12"/>
  <c r="AV61" i="12" s="1"/>
  <c r="AW61" i="12" s="1"/>
  <c r="AU61" i="10"/>
  <c r="AV61" i="10" s="1"/>
  <c r="AW61" i="10" s="1"/>
  <c r="C160" i="12"/>
  <c r="C160" i="10"/>
  <c r="C160" i="3"/>
  <c r="S161" i="12"/>
  <c r="S161" i="3"/>
  <c r="G160" i="12"/>
  <c r="I160" i="12" s="1"/>
  <c r="J160" i="12" s="1"/>
  <c r="G160" i="10"/>
  <c r="G160" i="3"/>
  <c r="BH60" i="12"/>
  <c r="BI60" i="12" s="1"/>
  <c r="BN60" i="12" s="1"/>
  <c r="AF161" i="12" s="1"/>
  <c r="AR60" i="12"/>
  <c r="AS60" i="12" s="1"/>
  <c r="AT60" i="12" s="1"/>
  <c r="BB59" i="10"/>
  <c r="R59" i="10"/>
  <c r="H160" i="10" s="1"/>
  <c r="AL59" i="12"/>
  <c r="E159" i="3"/>
  <c r="F159" i="3" s="1"/>
  <c r="AR60" i="10"/>
  <c r="AS60" i="10" s="1"/>
  <c r="AT60" i="10" s="1"/>
  <c r="D60" i="10"/>
  <c r="E60" i="10" s="1"/>
  <c r="F60" i="10" s="1"/>
  <c r="AC159" i="3"/>
  <c r="AD159" i="3" s="1"/>
  <c r="J59" i="10"/>
  <c r="D160" i="10" s="1"/>
  <c r="W61" i="12"/>
  <c r="X61" i="12" s="1"/>
  <c r="Y61" i="12" s="1"/>
  <c r="W61" i="10"/>
  <c r="X61" i="10" s="1"/>
  <c r="Y61" i="10" s="1"/>
  <c r="G61" i="12"/>
  <c r="H61" i="12" s="1"/>
  <c r="I61" i="12" s="1"/>
  <c r="G61" i="10"/>
  <c r="H61" i="10" s="1"/>
  <c r="I61" i="10" s="1"/>
  <c r="AM61" i="12"/>
  <c r="AN61" i="12" s="1"/>
  <c r="AO61" i="12" s="1"/>
  <c r="AM61" i="10"/>
  <c r="AN61" i="10" s="1"/>
  <c r="AO61" i="10" s="1"/>
  <c r="S160" i="12"/>
  <c r="U160" i="12" s="1"/>
  <c r="V160" i="12" s="1"/>
  <c r="S160" i="10"/>
  <c r="U160" i="10" s="1"/>
  <c r="V160" i="10" s="1"/>
  <c r="S160" i="3"/>
  <c r="AB60" i="12"/>
  <c r="AC60" i="12" s="1"/>
  <c r="AD60" i="12" s="1"/>
  <c r="L60" i="12"/>
  <c r="M60" i="12" s="1"/>
  <c r="R60" i="12" s="1"/>
  <c r="H161" i="12" s="1"/>
  <c r="I159" i="3"/>
  <c r="J159" i="3" s="1"/>
  <c r="AB60" i="10"/>
  <c r="AC60" i="10" s="1"/>
  <c r="AH60" i="10" s="1"/>
  <c r="P161" i="10" s="1"/>
  <c r="L60" i="10"/>
  <c r="M60" i="10" s="1"/>
  <c r="R60" i="10" s="1"/>
  <c r="H161" i="10" s="1"/>
  <c r="AH59" i="12"/>
  <c r="P160" i="12" s="1"/>
  <c r="AA160" i="12"/>
  <c r="AA160" i="10"/>
  <c r="AC160" i="10" s="1"/>
  <c r="AD160" i="10" s="1"/>
  <c r="AA160" i="3"/>
  <c r="BK61" i="12"/>
  <c r="BL61" i="12" s="1"/>
  <c r="BM61" i="12" s="1"/>
  <c r="BK61" i="10"/>
  <c r="BL61" i="10" s="1"/>
  <c r="BM61" i="10" s="1"/>
  <c r="O160" i="12"/>
  <c r="O160" i="10"/>
  <c r="Q160" i="10" s="1"/>
  <c r="R160" i="10" s="1"/>
  <c r="O160" i="3"/>
  <c r="W160" i="12"/>
  <c r="Y160" i="12" s="1"/>
  <c r="Z160" i="12" s="1"/>
  <c r="W160" i="10"/>
  <c r="Y160" i="10" s="1"/>
  <c r="Z160" i="10" s="1"/>
  <c r="W160" i="3"/>
  <c r="T60" i="12"/>
  <c r="U60" i="12" s="1"/>
  <c r="Z60" i="12" s="1"/>
  <c r="L161" i="12" s="1"/>
  <c r="AJ60" i="12"/>
  <c r="AK60" i="12" s="1"/>
  <c r="AP60" i="12" s="1"/>
  <c r="T161" i="12" s="1"/>
  <c r="T60" i="10"/>
  <c r="U60" i="10" s="1"/>
  <c r="Z60" i="10" s="1"/>
  <c r="L161" i="10" s="1"/>
  <c r="BH60" i="10"/>
  <c r="BI60" i="10" s="1"/>
  <c r="BN60" i="10" s="1"/>
  <c r="AF161" i="10" s="1"/>
  <c r="M160" i="10"/>
  <c r="N160" i="10" s="1"/>
  <c r="AL59" i="10"/>
  <c r="J59" i="12"/>
  <c r="D160" i="12" s="1"/>
  <c r="AI61" i="10"/>
  <c r="AA61" i="10"/>
  <c r="AY61" i="10"/>
  <c r="AQ61" i="10"/>
  <c r="C61" i="10"/>
  <c r="BG61" i="10"/>
  <c r="S61" i="10"/>
  <c r="K61" i="10"/>
  <c r="O61" i="12"/>
  <c r="P61" i="12" s="1"/>
  <c r="Q61" i="12" s="1"/>
  <c r="O61" i="10"/>
  <c r="P61" i="10" s="1"/>
  <c r="Q61" i="10" s="1"/>
  <c r="A62" i="12"/>
  <c r="A62" i="10"/>
  <c r="AE61" i="12"/>
  <c r="AF61" i="12" s="1"/>
  <c r="AG61" i="12" s="1"/>
  <c r="AE61" i="10"/>
  <c r="AF61" i="10" s="1"/>
  <c r="AG61" i="10" s="1"/>
  <c r="BC61" i="12"/>
  <c r="BD61" i="12" s="1"/>
  <c r="BE61" i="12" s="1"/>
  <c r="BC61" i="10"/>
  <c r="BD61" i="10" s="1"/>
  <c r="BE61" i="10" s="1"/>
  <c r="AE160" i="12"/>
  <c r="AG160" i="12" s="1"/>
  <c r="AH160" i="12" s="1"/>
  <c r="AE160" i="10"/>
  <c r="AG160" i="10" s="1"/>
  <c r="AH160" i="10" s="1"/>
  <c r="AE160" i="3"/>
  <c r="AZ60" i="12"/>
  <c r="BA60" i="12" s="1"/>
  <c r="BB60" i="12" s="1"/>
  <c r="D60" i="12"/>
  <c r="E60" i="12" s="1"/>
  <c r="J60" i="12" s="1"/>
  <c r="D161" i="12" s="1"/>
  <c r="AJ60" i="10"/>
  <c r="AK60" i="10" s="1"/>
  <c r="AL60" i="10" s="1"/>
  <c r="AZ60" i="10"/>
  <c r="BA60" i="10" s="1"/>
  <c r="BF60" i="10" s="1"/>
  <c r="AB161" i="10" s="1"/>
  <c r="BJ59" i="10"/>
  <c r="AD59" i="10"/>
  <c r="Q159" i="3"/>
  <c r="R159" i="3" s="1"/>
  <c r="S61" i="12"/>
  <c r="BG61" i="12"/>
  <c r="K61" i="12"/>
  <c r="AA61" i="12"/>
  <c r="C61" i="12"/>
  <c r="AI61" i="12"/>
  <c r="AY61" i="12"/>
  <c r="AQ61" i="12"/>
  <c r="BB59" i="3"/>
  <c r="AD59" i="3"/>
  <c r="BJ59" i="3"/>
  <c r="AX59" i="3"/>
  <c r="X160" i="3" s="1"/>
  <c r="AL59" i="3"/>
  <c r="V59" i="3"/>
  <c r="F59" i="3"/>
  <c r="R59" i="3"/>
  <c r="H160" i="3" s="1"/>
  <c r="BE73" i="2"/>
  <c r="BF73" i="2" s="1"/>
  <c r="J59" i="3"/>
  <c r="D160" i="3" s="1"/>
  <c r="AS73" i="2"/>
  <c r="AT73" i="2" s="1"/>
  <c r="AH59" i="3"/>
  <c r="P160" i="3" s="1"/>
  <c r="AM61" i="3"/>
  <c r="AN61" i="3" s="1"/>
  <c r="AO61" i="3" s="1"/>
  <c r="AI74" i="2"/>
  <c r="AK74" i="2"/>
  <c r="BF59" i="3"/>
  <c r="AB160" i="3" s="1"/>
  <c r="T60" i="3"/>
  <c r="U60" i="3" s="1"/>
  <c r="AJ60" i="3"/>
  <c r="AK60" i="3" s="1"/>
  <c r="AG73" i="2"/>
  <c r="AH73" i="2" s="1"/>
  <c r="AY73" i="2"/>
  <c r="AZ73" i="2" s="1"/>
  <c r="AP59" i="3"/>
  <c r="T160" i="3" s="1"/>
  <c r="AT59" i="3"/>
  <c r="AZ60" i="3"/>
  <c r="BA60" i="3" s="1"/>
  <c r="D60" i="3"/>
  <c r="E60" i="3" s="1"/>
  <c r="E55" i="22" s="1"/>
  <c r="BG73" i="2"/>
  <c r="A76" i="2"/>
  <c r="A62" i="3"/>
  <c r="G75" i="2"/>
  <c r="H75" i="2"/>
  <c r="I75" i="2"/>
  <c r="D75" i="2"/>
  <c r="E75" i="2"/>
  <c r="F75" i="2"/>
  <c r="C75" i="2"/>
  <c r="B75" i="2"/>
  <c r="AE61" i="3"/>
  <c r="AF61" i="3" s="1"/>
  <c r="AG61" i="3" s="1"/>
  <c r="AC74" i="2"/>
  <c r="AE74" i="2"/>
  <c r="G61" i="3"/>
  <c r="H61" i="3" s="1"/>
  <c r="I61" i="3" s="1"/>
  <c r="K74" i="2"/>
  <c r="M74" i="2"/>
  <c r="N74" i="2" s="1"/>
  <c r="BG61" i="3"/>
  <c r="AQ61" i="3"/>
  <c r="AY61" i="3"/>
  <c r="C61" i="3"/>
  <c r="K61" i="3"/>
  <c r="S61" i="3"/>
  <c r="AA61" i="3"/>
  <c r="AI61" i="3"/>
  <c r="O61" i="3"/>
  <c r="P61" i="3" s="1"/>
  <c r="Q61" i="3" s="1"/>
  <c r="Q74" i="2"/>
  <c r="S74" i="2"/>
  <c r="BC74" i="2"/>
  <c r="BK61" i="3"/>
  <c r="BL61" i="3" s="1"/>
  <c r="BM61" i="3" s="1"/>
  <c r="BA74" i="2"/>
  <c r="AW74" i="2"/>
  <c r="BC61" i="3"/>
  <c r="BD61" i="3" s="1"/>
  <c r="BE61" i="3" s="1"/>
  <c r="AU74" i="2"/>
  <c r="AA73" i="2"/>
  <c r="AB73" i="2" s="1"/>
  <c r="AR60" i="3"/>
  <c r="AS60" i="3" s="1"/>
  <c r="AB60" i="3"/>
  <c r="AC60" i="3" s="1"/>
  <c r="L73" i="2"/>
  <c r="O73" i="2"/>
  <c r="P73" i="2" s="1"/>
  <c r="W61" i="3"/>
  <c r="X61" i="3" s="1"/>
  <c r="Y61" i="3" s="1"/>
  <c r="W74" i="2"/>
  <c r="Y74" i="2"/>
  <c r="AU61" i="3"/>
  <c r="AV61" i="3" s="1"/>
  <c r="AW61" i="3" s="1"/>
  <c r="AO74" i="2"/>
  <c r="AQ74" i="2"/>
  <c r="Z59" i="3"/>
  <c r="L160" i="3" s="1"/>
  <c r="M160" i="3" s="1"/>
  <c r="N160" i="3" s="1"/>
  <c r="BH60" i="3"/>
  <c r="BI60" i="3" s="1"/>
  <c r="L60" i="3"/>
  <c r="M60" i="3" s="1"/>
  <c r="U73" i="2"/>
  <c r="V73" i="2" s="1"/>
  <c r="BN59" i="3"/>
  <c r="AF160" i="3" s="1"/>
  <c r="N59" i="3"/>
  <c r="AC160" i="12" l="1"/>
  <c r="AD160" i="12" s="1"/>
  <c r="BJ60" i="12"/>
  <c r="V60" i="10"/>
  <c r="A69" i="19"/>
  <c r="H68" i="19"/>
  <c r="L68" i="19"/>
  <c r="I68" i="19"/>
  <c r="J68" i="19"/>
  <c r="K68" i="19"/>
  <c r="B68" i="19"/>
  <c r="F68" i="19"/>
  <c r="C68" i="19"/>
  <c r="D68" i="19"/>
  <c r="E68" i="19"/>
  <c r="N60" i="10"/>
  <c r="BF60" i="12"/>
  <c r="AB161" i="12" s="1"/>
  <c r="BJ60" i="10"/>
  <c r="J60" i="10"/>
  <c r="D161" i="10" s="1"/>
  <c r="AM62" i="12"/>
  <c r="AN62" i="12" s="1"/>
  <c r="AO62" i="12" s="1"/>
  <c r="AM62" i="10"/>
  <c r="AN62" i="10" s="1"/>
  <c r="AO62" i="10" s="1"/>
  <c r="BC62" i="12"/>
  <c r="BD62" i="12" s="1"/>
  <c r="BE62" i="12" s="1"/>
  <c r="BC62" i="10"/>
  <c r="BD62" i="10" s="1"/>
  <c r="BE62" i="10" s="1"/>
  <c r="AE161" i="12"/>
  <c r="AG161" i="12" s="1"/>
  <c r="AH161" i="12" s="1"/>
  <c r="AE161" i="10"/>
  <c r="AG161" i="10" s="1"/>
  <c r="AH161" i="10" s="1"/>
  <c r="AE161" i="3"/>
  <c r="D61" i="12"/>
  <c r="E61" i="12" s="1"/>
  <c r="J61" i="12" s="1"/>
  <c r="D162" i="12" s="1"/>
  <c r="T61" i="12"/>
  <c r="U61" i="12" s="1"/>
  <c r="Z61" i="12" s="1"/>
  <c r="L162" i="12" s="1"/>
  <c r="BB60" i="10"/>
  <c r="AP60" i="10"/>
  <c r="T161" i="10" s="1"/>
  <c r="F60" i="12"/>
  <c r="C62" i="10"/>
  <c r="BG62" i="10"/>
  <c r="AA62" i="10"/>
  <c r="AI62" i="10"/>
  <c r="AY62" i="10"/>
  <c r="K62" i="10"/>
  <c r="AQ62" i="10"/>
  <c r="S62" i="10"/>
  <c r="L61" i="10"/>
  <c r="M61" i="10" s="1"/>
  <c r="R61" i="10" s="1"/>
  <c r="H162" i="10" s="1"/>
  <c r="AR61" i="10"/>
  <c r="AS61" i="10" s="1"/>
  <c r="AX61" i="10" s="1"/>
  <c r="X162" i="10" s="1"/>
  <c r="AL60" i="12"/>
  <c r="V60" i="12"/>
  <c r="N60" i="12"/>
  <c r="AH60" i="12"/>
  <c r="P161" i="12" s="1"/>
  <c r="AX60" i="10"/>
  <c r="X161" i="10" s="1"/>
  <c r="AX60" i="12"/>
  <c r="X161" i="12" s="1"/>
  <c r="E160" i="10"/>
  <c r="F160" i="10" s="1"/>
  <c r="G161" i="12"/>
  <c r="I161" i="12" s="1"/>
  <c r="J161" i="12" s="1"/>
  <c r="G161" i="10"/>
  <c r="I161" i="10" s="1"/>
  <c r="J161" i="10" s="1"/>
  <c r="G161" i="3"/>
  <c r="AE62" i="12"/>
  <c r="AF62" i="12" s="1"/>
  <c r="AG62" i="12" s="1"/>
  <c r="AE62" i="10"/>
  <c r="AF62" i="10" s="1"/>
  <c r="AG62" i="10" s="1"/>
  <c r="AU62" i="12"/>
  <c r="AV62" i="12" s="1"/>
  <c r="AW62" i="12" s="1"/>
  <c r="AU62" i="10"/>
  <c r="AV62" i="10" s="1"/>
  <c r="AW62" i="10" s="1"/>
  <c r="AA161" i="12"/>
  <c r="AA161" i="10"/>
  <c r="AC161" i="10" s="1"/>
  <c r="AD161" i="10" s="1"/>
  <c r="AA161" i="3"/>
  <c r="AR61" i="12"/>
  <c r="AS61" i="12" s="1"/>
  <c r="AT61" i="12" s="1"/>
  <c r="AB61" i="12"/>
  <c r="AC61" i="12" s="1"/>
  <c r="AH61" i="12" s="1"/>
  <c r="P162" i="12" s="1"/>
  <c r="AG160" i="3"/>
  <c r="AH160" i="3" s="1"/>
  <c r="K62" i="12"/>
  <c r="AQ62" i="12"/>
  <c r="AY62" i="12"/>
  <c r="S62" i="12"/>
  <c r="BG62" i="12"/>
  <c r="AA62" i="12"/>
  <c r="C62" i="12"/>
  <c r="AI62" i="12"/>
  <c r="T61" i="10"/>
  <c r="U61" i="10" s="1"/>
  <c r="Z61" i="10" s="1"/>
  <c r="L162" i="10" s="1"/>
  <c r="AZ61" i="10"/>
  <c r="BA61" i="10" s="1"/>
  <c r="BF61" i="10" s="1"/>
  <c r="AB162" i="10" s="1"/>
  <c r="Q160" i="3"/>
  <c r="R160" i="3" s="1"/>
  <c r="Q160" i="12"/>
  <c r="R160" i="12" s="1"/>
  <c r="AD60" i="10"/>
  <c r="I160" i="3"/>
  <c r="J160" i="3" s="1"/>
  <c r="U161" i="10"/>
  <c r="V161" i="10" s="1"/>
  <c r="E160" i="12"/>
  <c r="F160" i="12" s="1"/>
  <c r="K161" i="12"/>
  <c r="M161" i="12" s="1"/>
  <c r="N161" i="12" s="1"/>
  <c r="K161" i="10"/>
  <c r="K161" i="3"/>
  <c r="G62" i="12"/>
  <c r="H62" i="12" s="1"/>
  <c r="I62" i="12" s="1"/>
  <c r="G62" i="10"/>
  <c r="H62" i="10" s="1"/>
  <c r="I62" i="10" s="1"/>
  <c r="W62" i="12"/>
  <c r="X62" i="12" s="1"/>
  <c r="Y62" i="12" s="1"/>
  <c r="W62" i="10"/>
  <c r="X62" i="10" s="1"/>
  <c r="Y62" i="10" s="1"/>
  <c r="O161" i="12"/>
  <c r="O161" i="10"/>
  <c r="Q161" i="10" s="1"/>
  <c r="R161" i="10" s="1"/>
  <c r="O161" i="3"/>
  <c r="W161" i="12"/>
  <c r="Y161" i="12" s="1"/>
  <c r="Z161" i="12" s="1"/>
  <c r="W161" i="10"/>
  <c r="Y161" i="10" s="1"/>
  <c r="Z161" i="10" s="1"/>
  <c r="W161" i="3"/>
  <c r="AZ61" i="12"/>
  <c r="BA61" i="12" s="1"/>
  <c r="BF61" i="12"/>
  <c r="AB162" i="12" s="1"/>
  <c r="BB61" i="12"/>
  <c r="L61" i="12"/>
  <c r="M61" i="12" s="1"/>
  <c r="N61" i="12" s="1"/>
  <c r="BH61" i="10"/>
  <c r="BI61" i="10" s="1"/>
  <c r="BN61" i="10" s="1"/>
  <c r="AF162" i="10" s="1"/>
  <c r="AB61" i="10"/>
  <c r="AC61" i="10" s="1"/>
  <c r="AH61" i="10" s="1"/>
  <c r="P162" i="10" s="1"/>
  <c r="M161" i="10"/>
  <c r="N161" i="10" s="1"/>
  <c r="Y160" i="3"/>
  <c r="Z160" i="3" s="1"/>
  <c r="AC160" i="3"/>
  <c r="AD160" i="3" s="1"/>
  <c r="U160" i="3"/>
  <c r="V160" i="3" s="1"/>
  <c r="I160" i="10"/>
  <c r="J160" i="10" s="1"/>
  <c r="U161" i="12"/>
  <c r="V161" i="12" s="1"/>
  <c r="C161" i="12"/>
  <c r="E161" i="12" s="1"/>
  <c r="F161" i="12" s="1"/>
  <c r="C161" i="10"/>
  <c r="E161" i="10" s="1"/>
  <c r="F161" i="10" s="1"/>
  <c r="C161" i="3"/>
  <c r="O62" i="12"/>
  <c r="P62" i="12" s="1"/>
  <c r="Q62" i="12" s="1"/>
  <c r="O62" i="10"/>
  <c r="P62" i="10" s="1"/>
  <c r="Q62" i="10" s="1"/>
  <c r="BK62" i="12"/>
  <c r="BL62" i="12" s="1"/>
  <c r="BM62" i="12" s="1"/>
  <c r="BK62" i="10"/>
  <c r="BL62" i="10" s="1"/>
  <c r="BM62" i="10" s="1"/>
  <c r="A63" i="12"/>
  <c r="A63" i="10"/>
  <c r="AJ61" i="12"/>
  <c r="AK61" i="12" s="1"/>
  <c r="AP61" i="12" s="1"/>
  <c r="T162" i="12" s="1"/>
  <c r="BH61" i="12"/>
  <c r="BI61" i="12" s="1"/>
  <c r="BN61" i="12" s="1"/>
  <c r="AF162" i="12" s="1"/>
  <c r="D61" i="10"/>
  <c r="E61" i="10" s="1"/>
  <c r="F61" i="10" s="1"/>
  <c r="AJ61" i="10"/>
  <c r="AK61" i="10" s="1"/>
  <c r="AP61" i="10" s="1"/>
  <c r="T162" i="10" s="1"/>
  <c r="E160" i="3"/>
  <c r="F160" i="3" s="1"/>
  <c r="F60" i="3"/>
  <c r="BJ60" i="3"/>
  <c r="BF60" i="3"/>
  <c r="AB161" i="3" s="1"/>
  <c r="R60" i="3"/>
  <c r="H161" i="3" s="1"/>
  <c r="AX60" i="3"/>
  <c r="X161" i="3" s="1"/>
  <c r="AL60" i="3"/>
  <c r="AH60" i="3"/>
  <c r="P161" i="3" s="1"/>
  <c r="Z60" i="3"/>
  <c r="L161" i="3" s="1"/>
  <c r="BN60" i="3"/>
  <c r="AF161" i="3" s="1"/>
  <c r="AY74" i="2"/>
  <c r="AZ74" i="2" s="1"/>
  <c r="AG74" i="2"/>
  <c r="AH74" i="2" s="1"/>
  <c r="AP60" i="3"/>
  <c r="T161" i="3" s="1"/>
  <c r="U161" i="3" s="1"/>
  <c r="V161" i="3" s="1"/>
  <c r="J60" i="3"/>
  <c r="D161" i="3" s="1"/>
  <c r="U74" i="2"/>
  <c r="V74" i="2" s="1"/>
  <c r="AS74" i="2"/>
  <c r="AT74" i="2" s="1"/>
  <c r="AD60" i="3"/>
  <c r="BE74" i="2"/>
  <c r="BF74" i="2" s="1"/>
  <c r="T61" i="3"/>
  <c r="U61" i="3" s="1"/>
  <c r="AR61" i="3"/>
  <c r="AS61" i="3" s="1"/>
  <c r="G62" i="3"/>
  <c r="H62" i="3" s="1"/>
  <c r="I62" i="3" s="1"/>
  <c r="K75" i="2"/>
  <c r="M75" i="2"/>
  <c r="N75" i="2" s="1"/>
  <c r="W62" i="3"/>
  <c r="X62" i="3" s="1"/>
  <c r="Y62" i="3" s="1"/>
  <c r="W75" i="2"/>
  <c r="Y75" i="2"/>
  <c r="AA62" i="3"/>
  <c r="AI62" i="3"/>
  <c r="AQ62" i="3"/>
  <c r="C62" i="3"/>
  <c r="AY62" i="3"/>
  <c r="K62" i="3"/>
  <c r="BG62" i="3"/>
  <c r="S62" i="3"/>
  <c r="L61" i="3"/>
  <c r="M61" i="3" s="1"/>
  <c r="BH61" i="3"/>
  <c r="BI61" i="3" s="1"/>
  <c r="BN61" i="3" s="1"/>
  <c r="AF162" i="3" s="1"/>
  <c r="O62" i="3"/>
  <c r="P62" i="3" s="1"/>
  <c r="Q62" i="3" s="1"/>
  <c r="Q75" i="2"/>
  <c r="S75" i="2"/>
  <c r="BC75" i="2"/>
  <c r="BK62" i="3"/>
  <c r="BL62" i="3" s="1"/>
  <c r="BM62" i="3" s="1"/>
  <c r="BA75" i="2"/>
  <c r="A77" i="2"/>
  <c r="A63" i="3"/>
  <c r="H76" i="2"/>
  <c r="G76" i="2"/>
  <c r="I76" i="2"/>
  <c r="E76" i="2"/>
  <c r="C76" i="2"/>
  <c r="B76" i="2"/>
  <c r="F76" i="2"/>
  <c r="D76" i="2"/>
  <c r="AM74" i="2"/>
  <c r="AN74" i="2" s="1"/>
  <c r="N60" i="3"/>
  <c r="AJ61" i="3"/>
  <c r="AK61" i="3" s="1"/>
  <c r="AL61" i="3" s="1"/>
  <c r="D61" i="3"/>
  <c r="E61" i="3" s="1"/>
  <c r="E56" i="22" s="1"/>
  <c r="AM62" i="3"/>
  <c r="AN62" i="3" s="1"/>
  <c r="AO62" i="3" s="1"/>
  <c r="AI75" i="2"/>
  <c r="AK75" i="2"/>
  <c r="AW75" i="2"/>
  <c r="BC62" i="3"/>
  <c r="BD62" i="3" s="1"/>
  <c r="BE62" i="3" s="1"/>
  <c r="AU75" i="2"/>
  <c r="AA74" i="2"/>
  <c r="AB74" i="2" s="1"/>
  <c r="AT60" i="3"/>
  <c r="AB61" i="3"/>
  <c r="AC61" i="3" s="1"/>
  <c r="AH61" i="3" s="1"/>
  <c r="P162" i="3" s="1"/>
  <c r="AZ61" i="3"/>
  <c r="BA61" i="3" s="1"/>
  <c r="L74" i="2"/>
  <c r="O74" i="2"/>
  <c r="P74" i="2" s="1"/>
  <c r="AE62" i="3"/>
  <c r="AF62" i="3" s="1"/>
  <c r="AG62" i="3" s="1"/>
  <c r="AC75" i="2"/>
  <c r="AE75" i="2"/>
  <c r="AU62" i="3"/>
  <c r="AV62" i="3" s="1"/>
  <c r="AW62" i="3" s="1"/>
  <c r="AO75" i="2"/>
  <c r="AQ75" i="2"/>
  <c r="BB60" i="3"/>
  <c r="V60" i="3"/>
  <c r="AA75" i="2" l="1"/>
  <c r="AB75" i="2" s="1"/>
  <c r="AC161" i="12"/>
  <c r="AD161" i="12" s="1"/>
  <c r="U75" i="2"/>
  <c r="V75" i="2" s="1"/>
  <c r="G163" i="3" s="1"/>
  <c r="F61" i="12"/>
  <c r="V61" i="12"/>
  <c r="K69" i="19"/>
  <c r="H69" i="19"/>
  <c r="L69" i="19"/>
  <c r="I69" i="19"/>
  <c r="J69" i="19"/>
  <c r="E69" i="19"/>
  <c r="B69" i="19"/>
  <c r="F69" i="19"/>
  <c r="C69" i="19"/>
  <c r="D69" i="19"/>
  <c r="J61" i="10"/>
  <c r="D162" i="10" s="1"/>
  <c r="AL61" i="10"/>
  <c r="R61" i="12"/>
  <c r="H162" i="12" s="1"/>
  <c r="AL61" i="12"/>
  <c r="V61" i="10"/>
  <c r="AD61" i="12"/>
  <c r="AT61" i="10"/>
  <c r="AE63" i="12"/>
  <c r="AF63" i="12" s="1"/>
  <c r="AG63" i="12" s="1"/>
  <c r="AE63" i="10"/>
  <c r="AF63" i="10" s="1"/>
  <c r="AG63" i="10" s="1"/>
  <c r="AG75" i="2"/>
  <c r="AH75" i="2" s="1"/>
  <c r="K162" i="12"/>
  <c r="M162" i="12" s="1"/>
  <c r="N162" i="12" s="1"/>
  <c r="K162" i="10"/>
  <c r="K162" i="3"/>
  <c r="AM63" i="12"/>
  <c r="AN63" i="12" s="1"/>
  <c r="AO63" i="12" s="1"/>
  <c r="AM63" i="10"/>
  <c r="AN63" i="10" s="1"/>
  <c r="AO63" i="10" s="1"/>
  <c r="BK63" i="12"/>
  <c r="BL63" i="12" s="1"/>
  <c r="BM63" i="12" s="1"/>
  <c r="BK63" i="10"/>
  <c r="BL63" i="10" s="1"/>
  <c r="BM63" i="10" s="1"/>
  <c r="A64" i="12"/>
  <c r="A64" i="10"/>
  <c r="G163" i="12"/>
  <c r="G163" i="10"/>
  <c r="G162" i="12"/>
  <c r="I162" i="12" s="1"/>
  <c r="J162" i="12" s="1"/>
  <c r="G162" i="10"/>
  <c r="I162" i="10" s="1"/>
  <c r="J162" i="10" s="1"/>
  <c r="G162" i="3"/>
  <c r="AA162" i="12"/>
  <c r="AC162" i="12" s="1"/>
  <c r="AD162" i="12" s="1"/>
  <c r="AA162" i="10"/>
  <c r="AC162" i="10" s="1"/>
  <c r="AD162" i="10" s="1"/>
  <c r="AA162" i="3"/>
  <c r="E161" i="3"/>
  <c r="F161" i="3" s="1"/>
  <c r="BJ61" i="10"/>
  <c r="Q161" i="3"/>
  <c r="R161" i="3" s="1"/>
  <c r="BB61" i="10"/>
  <c r="M162" i="10"/>
  <c r="N162" i="10" s="1"/>
  <c r="AB62" i="12"/>
  <c r="AC62" i="12" s="1"/>
  <c r="AH62" i="12" s="1"/>
  <c r="P163" i="12" s="1"/>
  <c r="AR62" i="12"/>
  <c r="AS62" i="12" s="1"/>
  <c r="AX62" i="12" s="1"/>
  <c r="X163" i="12" s="1"/>
  <c r="AC161" i="3"/>
  <c r="AD161" i="3" s="1"/>
  <c r="T62" i="10"/>
  <c r="U62" i="10" s="1"/>
  <c r="Z62" i="10" s="1"/>
  <c r="L163" i="10" s="1"/>
  <c r="AJ62" i="10"/>
  <c r="AK62" i="10" s="1"/>
  <c r="AP62" i="10" s="1"/>
  <c r="T163" i="10" s="1"/>
  <c r="S162" i="12"/>
  <c r="U162" i="12" s="1"/>
  <c r="V162" i="12" s="1"/>
  <c r="S162" i="10"/>
  <c r="U162" i="10" s="1"/>
  <c r="V162" i="10" s="1"/>
  <c r="S162" i="3"/>
  <c r="G63" i="12"/>
  <c r="H63" i="12" s="1"/>
  <c r="I63" i="12" s="1"/>
  <c r="G63" i="10"/>
  <c r="H63" i="10" s="1"/>
  <c r="I63" i="10" s="1"/>
  <c r="AU63" i="12"/>
  <c r="AV63" i="12" s="1"/>
  <c r="AW63" i="12" s="1"/>
  <c r="AU63" i="10"/>
  <c r="AV63" i="10" s="1"/>
  <c r="AW63" i="10" s="1"/>
  <c r="BE75" i="2"/>
  <c r="BF75" i="2" s="1"/>
  <c r="AE162" i="12"/>
  <c r="AG162" i="12" s="1"/>
  <c r="AH162" i="12" s="1"/>
  <c r="AE162" i="10"/>
  <c r="AG162" i="10" s="1"/>
  <c r="AH162" i="10" s="1"/>
  <c r="AE162" i="3"/>
  <c r="AG162" i="3" s="1"/>
  <c r="AH162" i="3" s="1"/>
  <c r="BJ61" i="12"/>
  <c r="AD61" i="10"/>
  <c r="Y161" i="3"/>
  <c r="Z161" i="3" s="1"/>
  <c r="BH62" i="12"/>
  <c r="BI62" i="12" s="1"/>
  <c r="BN62" i="12" s="1"/>
  <c r="AF163" i="12" s="1"/>
  <c r="L62" i="12"/>
  <c r="M62" i="12" s="1"/>
  <c r="N62" i="12" s="1"/>
  <c r="AX61" i="12"/>
  <c r="X162" i="12" s="1"/>
  <c r="N61" i="10"/>
  <c r="AR62" i="10"/>
  <c r="AS62" i="10" s="1"/>
  <c r="AX62" i="10" s="1"/>
  <c r="X163" i="10" s="1"/>
  <c r="AB62" i="10"/>
  <c r="AC62" i="10" s="1"/>
  <c r="AH62" i="10" s="1"/>
  <c r="P163" i="10" s="1"/>
  <c r="AG161" i="3"/>
  <c r="AH161" i="3" s="1"/>
  <c r="C162" i="12"/>
  <c r="E162" i="12" s="1"/>
  <c r="F162" i="12" s="1"/>
  <c r="C162" i="10"/>
  <c r="E162" i="10" s="1"/>
  <c r="F162" i="10" s="1"/>
  <c r="C162" i="3"/>
  <c r="O63" i="12"/>
  <c r="P63" i="12" s="1"/>
  <c r="Q63" i="12" s="1"/>
  <c r="O63" i="10"/>
  <c r="P63" i="10" s="1"/>
  <c r="Q63" i="10" s="1"/>
  <c r="BC63" i="12"/>
  <c r="BD63" i="12" s="1"/>
  <c r="BE63" i="12" s="1"/>
  <c r="BC63" i="10"/>
  <c r="BD63" i="10" s="1"/>
  <c r="BE63" i="10" s="1"/>
  <c r="K163" i="12"/>
  <c r="K163" i="10"/>
  <c r="K163" i="3"/>
  <c r="S63" i="10"/>
  <c r="AQ63" i="10"/>
  <c r="C63" i="10"/>
  <c r="AY63" i="10"/>
  <c r="K63" i="10"/>
  <c r="AI63" i="10"/>
  <c r="BG63" i="10"/>
  <c r="AA63" i="10"/>
  <c r="AJ62" i="12"/>
  <c r="AK62" i="12" s="1"/>
  <c r="AP62" i="12" s="1"/>
  <c r="T163" i="12" s="1"/>
  <c r="T62" i="12"/>
  <c r="U62" i="12" s="1"/>
  <c r="V62" i="12" s="1"/>
  <c r="Q161" i="12"/>
  <c r="R161" i="12" s="1"/>
  <c r="L62" i="10"/>
  <c r="M62" i="10" s="1"/>
  <c r="R62" i="10" s="1"/>
  <c r="H163" i="10" s="1"/>
  <c r="BH62" i="10"/>
  <c r="BI62" i="10" s="1"/>
  <c r="BN62" i="10" s="1"/>
  <c r="AF163" i="10" s="1"/>
  <c r="W63" i="12"/>
  <c r="X63" i="12" s="1"/>
  <c r="Y63" i="12" s="1"/>
  <c r="W63" i="10"/>
  <c r="X63" i="10" s="1"/>
  <c r="Y63" i="10" s="1"/>
  <c r="W162" i="12"/>
  <c r="Y162" i="12" s="1"/>
  <c r="Z162" i="12" s="1"/>
  <c r="W162" i="10"/>
  <c r="Y162" i="10" s="1"/>
  <c r="Z162" i="10" s="1"/>
  <c r="W162" i="3"/>
  <c r="O162" i="12"/>
  <c r="Q162" i="12" s="1"/>
  <c r="R162" i="12" s="1"/>
  <c r="O162" i="10"/>
  <c r="Q162" i="10" s="1"/>
  <c r="R162" i="10" s="1"/>
  <c r="O162" i="3"/>
  <c r="Q162" i="3" s="1"/>
  <c r="R162" i="3" s="1"/>
  <c r="K63" i="12"/>
  <c r="AQ63" i="12"/>
  <c r="AA63" i="12"/>
  <c r="C63" i="12"/>
  <c r="BG63" i="12"/>
  <c r="S63" i="12"/>
  <c r="AI63" i="12"/>
  <c r="AY63" i="12"/>
  <c r="M161" i="3"/>
  <c r="N161" i="3" s="1"/>
  <c r="D62" i="12"/>
  <c r="E62" i="12" s="1"/>
  <c r="J62" i="12" s="1"/>
  <c r="D163" i="12" s="1"/>
  <c r="AZ62" i="12"/>
  <c r="BA62" i="12" s="1"/>
  <c r="BB62" i="12" s="1"/>
  <c r="I161" i="3"/>
  <c r="J161" i="3" s="1"/>
  <c r="AZ62" i="10"/>
  <c r="BA62" i="10" s="1"/>
  <c r="BB62" i="10" s="1"/>
  <c r="D62" i="10"/>
  <c r="E62" i="10" s="1"/>
  <c r="F62" i="10" s="1"/>
  <c r="BB61" i="3"/>
  <c r="AD61" i="3"/>
  <c r="AT61" i="3"/>
  <c r="AP61" i="3"/>
  <c r="T162" i="3" s="1"/>
  <c r="N61" i="3"/>
  <c r="BJ61" i="3"/>
  <c r="V61" i="3"/>
  <c r="J61" i="3"/>
  <c r="D162" i="3" s="1"/>
  <c r="AM75" i="2"/>
  <c r="AN75" i="2" s="1"/>
  <c r="F61" i="3"/>
  <c r="R61" i="3"/>
  <c r="H162" i="3" s="1"/>
  <c r="AX61" i="3"/>
  <c r="X162" i="3" s="1"/>
  <c r="Z61" i="3"/>
  <c r="L162" i="3" s="1"/>
  <c r="AS75" i="2"/>
  <c r="AT75" i="2" s="1"/>
  <c r="BF61" i="3"/>
  <c r="AB162" i="3" s="1"/>
  <c r="G63" i="3"/>
  <c r="H63" i="3" s="1"/>
  <c r="I63" i="3" s="1"/>
  <c r="K76" i="2"/>
  <c r="M76" i="2"/>
  <c r="N76" i="2" s="1"/>
  <c r="AU63" i="3"/>
  <c r="AV63" i="3" s="1"/>
  <c r="AW63" i="3" s="1"/>
  <c r="AO76" i="2"/>
  <c r="AQ76" i="2"/>
  <c r="BG75" i="2"/>
  <c r="L62" i="3"/>
  <c r="M62" i="3" s="1"/>
  <c r="AJ62" i="3"/>
  <c r="AK62" i="3" s="1"/>
  <c r="O63" i="3"/>
  <c r="P63" i="3" s="1"/>
  <c r="Q63" i="3" s="1"/>
  <c r="Q76" i="2"/>
  <c r="S76" i="2"/>
  <c r="AW76" i="2"/>
  <c r="BC63" i="3"/>
  <c r="BD63" i="3" s="1"/>
  <c r="BE63" i="3" s="1"/>
  <c r="AU76" i="2"/>
  <c r="AZ62" i="3"/>
  <c r="BA62" i="3" s="1"/>
  <c r="AB62" i="3"/>
  <c r="AC62" i="3" s="1"/>
  <c r="BG74" i="2"/>
  <c r="AY75" i="2"/>
  <c r="AZ75" i="2" s="1"/>
  <c r="W63" i="3"/>
  <c r="X63" i="3" s="1"/>
  <c r="Y63" i="3" s="1"/>
  <c r="W76" i="2"/>
  <c r="Y76" i="2"/>
  <c r="AE63" i="3"/>
  <c r="AF63" i="3" s="1"/>
  <c r="AG63" i="3" s="1"/>
  <c r="AC76" i="2"/>
  <c r="AE76" i="2"/>
  <c r="AI63" i="3"/>
  <c r="AQ63" i="3"/>
  <c r="AA63" i="3"/>
  <c r="C63" i="3"/>
  <c r="BG63" i="3"/>
  <c r="S63" i="3"/>
  <c r="K63" i="3"/>
  <c r="AY63" i="3"/>
  <c r="T62" i="3"/>
  <c r="U62" i="3" s="1"/>
  <c r="D62" i="3"/>
  <c r="E62" i="3" s="1"/>
  <c r="E57" i="22" s="1"/>
  <c r="L75" i="2"/>
  <c r="O75" i="2"/>
  <c r="P75" i="2" s="1"/>
  <c r="AM63" i="3"/>
  <c r="AN63" i="3" s="1"/>
  <c r="AO63" i="3" s="1"/>
  <c r="AI76" i="2"/>
  <c r="AK76" i="2"/>
  <c r="BC76" i="2"/>
  <c r="BK63" i="3"/>
  <c r="BL63" i="3" s="1"/>
  <c r="BM63" i="3" s="1"/>
  <c r="BA76" i="2"/>
  <c r="A78" i="2"/>
  <c r="A64" i="3"/>
  <c r="H77" i="2"/>
  <c r="E77" i="2"/>
  <c r="F77" i="2"/>
  <c r="C77" i="2"/>
  <c r="B77" i="2"/>
  <c r="G77" i="2"/>
  <c r="I77" i="2"/>
  <c r="D77" i="2"/>
  <c r="BH62" i="3"/>
  <c r="BI62" i="3" s="1"/>
  <c r="AR62" i="3"/>
  <c r="AS62" i="3" s="1"/>
  <c r="N62" i="10" l="1"/>
  <c r="AT62" i="10"/>
  <c r="AL62" i="10"/>
  <c r="BF62" i="12"/>
  <c r="AB163" i="12" s="1"/>
  <c r="AA76" i="2"/>
  <c r="AB76" i="2" s="1"/>
  <c r="K164" i="12" s="1"/>
  <c r="BF62" i="10"/>
  <c r="AB163" i="10" s="1"/>
  <c r="BJ62" i="10"/>
  <c r="AD62" i="10"/>
  <c r="R62" i="12"/>
  <c r="H163" i="12" s="1"/>
  <c r="AT62" i="12"/>
  <c r="F62" i="12"/>
  <c r="V62" i="10"/>
  <c r="Z62" i="12"/>
  <c r="L163" i="12" s="1"/>
  <c r="M163" i="10"/>
  <c r="N163" i="10" s="1"/>
  <c r="O64" i="12"/>
  <c r="P64" i="12" s="1"/>
  <c r="Q64" i="12" s="1"/>
  <c r="O64" i="10"/>
  <c r="P64" i="10" s="1"/>
  <c r="Q64" i="10" s="1"/>
  <c r="C163" i="12"/>
  <c r="E163" i="12" s="1"/>
  <c r="F163" i="12" s="1"/>
  <c r="C163" i="10"/>
  <c r="C163" i="3"/>
  <c r="K164" i="10"/>
  <c r="K164" i="3"/>
  <c r="J62" i="10"/>
  <c r="D163" i="10" s="1"/>
  <c r="T63" i="12"/>
  <c r="U63" i="12" s="1"/>
  <c r="Z63" i="12" s="1"/>
  <c r="L164" i="12" s="1"/>
  <c r="AR63" i="12"/>
  <c r="AS63" i="12" s="1"/>
  <c r="AX63" i="12" s="1"/>
  <c r="X164" i="12" s="1"/>
  <c r="AL62" i="12"/>
  <c r="BH63" i="10"/>
  <c r="BI63" i="10" s="1"/>
  <c r="BN63" i="10" s="1"/>
  <c r="AF164" i="10" s="1"/>
  <c r="D63" i="10"/>
  <c r="E63" i="10" s="1"/>
  <c r="J63" i="10" s="1"/>
  <c r="D164" i="10" s="1"/>
  <c r="AD62" i="12"/>
  <c r="C64" i="10"/>
  <c r="S64" i="10"/>
  <c r="K64" i="10"/>
  <c r="AA64" i="10"/>
  <c r="AQ64" i="10"/>
  <c r="AY64" i="10"/>
  <c r="AI64" i="10"/>
  <c r="BG64" i="10"/>
  <c r="W64" i="12"/>
  <c r="X64" i="12" s="1"/>
  <c r="Y64" i="12" s="1"/>
  <c r="W64" i="10"/>
  <c r="X64" i="10" s="1"/>
  <c r="Y64" i="10" s="1"/>
  <c r="BK64" i="12"/>
  <c r="BL64" i="12" s="1"/>
  <c r="BM64" i="12" s="1"/>
  <c r="BK64" i="10"/>
  <c r="BL64" i="10" s="1"/>
  <c r="BM64" i="10" s="1"/>
  <c r="AM64" i="12"/>
  <c r="AN64" i="12" s="1"/>
  <c r="AO64" i="12" s="1"/>
  <c r="AM64" i="10"/>
  <c r="AN64" i="10" s="1"/>
  <c r="AO64" i="10" s="1"/>
  <c r="A65" i="12"/>
  <c r="A65" i="10"/>
  <c r="BH63" i="12"/>
  <c r="BI63" i="12" s="1"/>
  <c r="BJ63" i="12" s="1"/>
  <c r="L63" i="12"/>
  <c r="M63" i="12" s="1"/>
  <c r="R63" i="12" s="1"/>
  <c r="H164" i="12" s="1"/>
  <c r="Y162" i="3"/>
  <c r="Z162" i="3" s="1"/>
  <c r="AJ63" i="10"/>
  <c r="AK63" i="10" s="1"/>
  <c r="AP63" i="10" s="1"/>
  <c r="T164" i="10" s="1"/>
  <c r="AR63" i="10"/>
  <c r="AS63" i="10" s="1"/>
  <c r="AX63" i="10" s="1"/>
  <c r="X164" i="10" s="1"/>
  <c r="M163" i="12"/>
  <c r="N163" i="12" s="1"/>
  <c r="BJ62" i="12"/>
  <c r="AE163" i="12"/>
  <c r="AG163" i="12" s="1"/>
  <c r="AH163" i="12" s="1"/>
  <c r="AE163" i="10"/>
  <c r="AG163" i="10" s="1"/>
  <c r="AH163" i="10" s="1"/>
  <c r="AE163" i="3"/>
  <c r="AA64" i="12"/>
  <c r="AQ64" i="12"/>
  <c r="K64" i="12"/>
  <c r="C64" i="12"/>
  <c r="AI64" i="12"/>
  <c r="AY64" i="12"/>
  <c r="S64" i="12"/>
  <c r="BG64" i="12"/>
  <c r="O163" i="12"/>
  <c r="Q163" i="12" s="1"/>
  <c r="R163" i="12" s="1"/>
  <c r="O163" i="10"/>
  <c r="Q163" i="10" s="1"/>
  <c r="R163" i="10" s="1"/>
  <c r="O163" i="3"/>
  <c r="AU64" i="12"/>
  <c r="AV64" i="12" s="1"/>
  <c r="AW64" i="12" s="1"/>
  <c r="AU64" i="10"/>
  <c r="AV64" i="10" s="1"/>
  <c r="AW64" i="10" s="1"/>
  <c r="AE64" i="12"/>
  <c r="AF64" i="12" s="1"/>
  <c r="AG64" i="12" s="1"/>
  <c r="AE64" i="10"/>
  <c r="AF64" i="10" s="1"/>
  <c r="AG64" i="10" s="1"/>
  <c r="AA163" i="12"/>
  <c r="AA163" i="10"/>
  <c r="AC163" i="10" s="1"/>
  <c r="AD163" i="10" s="1"/>
  <c r="AA163" i="3"/>
  <c r="W163" i="12"/>
  <c r="Y163" i="12" s="1"/>
  <c r="Z163" i="12" s="1"/>
  <c r="W163" i="10"/>
  <c r="Y163" i="10" s="1"/>
  <c r="Z163" i="10" s="1"/>
  <c r="W163" i="3"/>
  <c r="AZ63" i="12"/>
  <c r="BA63" i="12" s="1"/>
  <c r="BB63" i="12" s="1"/>
  <c r="D63" i="12"/>
  <c r="E63" i="12" s="1"/>
  <c r="F63" i="12" s="1"/>
  <c r="L63" i="10"/>
  <c r="M63" i="10" s="1"/>
  <c r="N63" i="10" s="1"/>
  <c r="T63" i="10"/>
  <c r="U63" i="10" s="1"/>
  <c r="Z63" i="10" s="1"/>
  <c r="L164" i="10" s="1"/>
  <c r="E162" i="3"/>
  <c r="F162" i="3" s="1"/>
  <c r="U162" i="3"/>
  <c r="V162" i="3" s="1"/>
  <c r="I162" i="3"/>
  <c r="J162" i="3" s="1"/>
  <c r="I163" i="10"/>
  <c r="J163" i="10" s="1"/>
  <c r="M162" i="3"/>
  <c r="N162" i="3" s="1"/>
  <c r="G64" i="12"/>
  <c r="H64" i="12" s="1"/>
  <c r="I64" i="12" s="1"/>
  <c r="G64" i="10"/>
  <c r="H64" i="10" s="1"/>
  <c r="I64" i="10" s="1"/>
  <c r="BC64" i="12"/>
  <c r="BD64" i="12" s="1"/>
  <c r="BE64" i="12" s="1"/>
  <c r="BC64" i="10"/>
  <c r="BD64" i="10" s="1"/>
  <c r="BE64" i="10" s="1"/>
  <c r="S163" i="12"/>
  <c r="U163" i="12" s="1"/>
  <c r="V163" i="12" s="1"/>
  <c r="S163" i="10"/>
  <c r="U163" i="10" s="1"/>
  <c r="V163" i="10" s="1"/>
  <c r="S163" i="3"/>
  <c r="AJ63" i="12"/>
  <c r="AK63" i="12" s="1"/>
  <c r="AL63" i="12" s="1"/>
  <c r="AB63" i="12"/>
  <c r="AC63" i="12" s="1"/>
  <c r="AH63" i="12" s="1"/>
  <c r="P164" i="12" s="1"/>
  <c r="AB63" i="10"/>
  <c r="AC63" i="10" s="1"/>
  <c r="AH63" i="10" s="1"/>
  <c r="P164" i="10" s="1"/>
  <c r="AZ63" i="10"/>
  <c r="BA63" i="10" s="1"/>
  <c r="BF63" i="10" s="1"/>
  <c r="AB164" i="10" s="1"/>
  <c r="AC162" i="3"/>
  <c r="AD162" i="3" s="1"/>
  <c r="I163" i="12"/>
  <c r="J163" i="12" s="1"/>
  <c r="BF62" i="3"/>
  <c r="AB163" i="3" s="1"/>
  <c r="R62" i="3"/>
  <c r="H163" i="3" s="1"/>
  <c r="I163" i="3" s="1"/>
  <c r="J163" i="3" s="1"/>
  <c r="AH62" i="3"/>
  <c r="P163" i="3" s="1"/>
  <c r="J62" i="3"/>
  <c r="D163" i="3" s="1"/>
  <c r="AP62" i="3"/>
  <c r="T163" i="3" s="1"/>
  <c r="AX62" i="3"/>
  <c r="X163" i="3" s="1"/>
  <c r="Y163" i="3" s="1"/>
  <c r="Z163" i="3" s="1"/>
  <c r="BJ62" i="3"/>
  <c r="Z62" i="3"/>
  <c r="L163" i="3" s="1"/>
  <c r="M163" i="3" s="1"/>
  <c r="N163" i="3" s="1"/>
  <c r="AD62" i="3"/>
  <c r="BB62" i="3"/>
  <c r="BN62" i="3"/>
  <c r="AF163" i="3" s="1"/>
  <c r="AG163" i="3" s="1"/>
  <c r="AH163" i="3" s="1"/>
  <c r="F62" i="3"/>
  <c r="N62" i="3"/>
  <c r="AS76" i="2"/>
  <c r="AT76" i="2" s="1"/>
  <c r="AM76" i="2"/>
  <c r="AN76" i="2" s="1"/>
  <c r="V62" i="3"/>
  <c r="AT62" i="3"/>
  <c r="T63" i="3"/>
  <c r="U63" i="3" s="1"/>
  <c r="AR63" i="3"/>
  <c r="AS63" i="3" s="1"/>
  <c r="AU64" i="3"/>
  <c r="AV64" i="3" s="1"/>
  <c r="AW64" i="3" s="1"/>
  <c r="AO77" i="2"/>
  <c r="AQ77" i="2"/>
  <c r="AE64" i="3"/>
  <c r="AF64" i="3" s="1"/>
  <c r="AG64" i="3" s="1"/>
  <c r="AC77" i="2"/>
  <c r="AE77" i="2"/>
  <c r="BE76" i="2"/>
  <c r="BF76" i="2" s="1"/>
  <c r="BH63" i="3"/>
  <c r="BI63" i="3" s="1"/>
  <c r="AJ63" i="3"/>
  <c r="AK63" i="3" s="1"/>
  <c r="L76" i="2"/>
  <c r="O76" i="2"/>
  <c r="P76" i="2" s="1"/>
  <c r="G64" i="3"/>
  <c r="H64" i="3" s="1"/>
  <c r="I64" i="3" s="1"/>
  <c r="K77" i="2"/>
  <c r="M77" i="2"/>
  <c r="N77" i="2" s="1"/>
  <c r="AW77" i="2"/>
  <c r="BC64" i="3"/>
  <c r="BD64" i="3" s="1"/>
  <c r="BE64" i="3" s="1"/>
  <c r="AU77" i="2"/>
  <c r="AZ63" i="3"/>
  <c r="BA63" i="3" s="1"/>
  <c r="D63" i="3"/>
  <c r="E63" i="3" s="1"/>
  <c r="E58" i="22" s="1"/>
  <c r="W64" i="3"/>
  <c r="X64" i="3" s="1"/>
  <c r="Y64" i="3" s="1"/>
  <c r="W77" i="2"/>
  <c r="Y77" i="2"/>
  <c r="O64" i="3"/>
  <c r="P64" i="3" s="1"/>
  <c r="Q64" i="3" s="1"/>
  <c r="Q77" i="2"/>
  <c r="S77" i="2"/>
  <c r="AA64" i="3"/>
  <c r="K64" i="3"/>
  <c r="AY64" i="3"/>
  <c r="AI64" i="3"/>
  <c r="AQ64" i="3"/>
  <c r="S64" i="3"/>
  <c r="C64" i="3"/>
  <c r="BG64" i="3"/>
  <c r="L63" i="3"/>
  <c r="M63" i="3" s="1"/>
  <c r="AB63" i="3"/>
  <c r="AC63" i="3" s="1"/>
  <c r="AG76" i="2"/>
  <c r="AH76" i="2" s="1"/>
  <c r="U76" i="2"/>
  <c r="V76" i="2" s="1"/>
  <c r="AL62" i="3"/>
  <c r="BC77" i="2"/>
  <c r="BK64" i="3"/>
  <c r="BL64" i="3" s="1"/>
  <c r="BM64" i="3" s="1"/>
  <c r="BA77" i="2"/>
  <c r="AM64" i="3"/>
  <c r="AN64" i="3" s="1"/>
  <c r="AO64" i="3" s="1"/>
  <c r="AI77" i="2"/>
  <c r="AK77" i="2"/>
  <c r="A79" i="2"/>
  <c r="A65" i="3"/>
  <c r="H78" i="2"/>
  <c r="G78" i="2"/>
  <c r="I78" i="2"/>
  <c r="D78" i="2"/>
  <c r="E78" i="2"/>
  <c r="C78" i="2"/>
  <c r="B78" i="2"/>
  <c r="F78" i="2"/>
  <c r="AY76" i="2"/>
  <c r="AZ76" i="2" s="1"/>
  <c r="AC163" i="12" l="1"/>
  <c r="AD163" i="12" s="1"/>
  <c r="M164" i="10"/>
  <c r="N164" i="10" s="1"/>
  <c r="AP63" i="12"/>
  <c r="T164" i="12" s="1"/>
  <c r="AT63" i="10"/>
  <c r="AD63" i="10"/>
  <c r="V63" i="10"/>
  <c r="BF63" i="12"/>
  <c r="AB164" i="12" s="1"/>
  <c r="F63" i="10"/>
  <c r="BK65" i="12"/>
  <c r="BL65" i="12" s="1"/>
  <c r="BM65" i="12" s="1"/>
  <c r="BK65" i="10"/>
  <c r="BL65" i="10" s="1"/>
  <c r="BM65" i="10" s="1"/>
  <c r="O65" i="12"/>
  <c r="P65" i="12" s="1"/>
  <c r="Q65" i="12" s="1"/>
  <c r="O65" i="10"/>
  <c r="P65" i="10" s="1"/>
  <c r="Q65" i="10" s="1"/>
  <c r="O164" i="12"/>
  <c r="O164" i="10"/>
  <c r="Q164" i="10" s="1"/>
  <c r="R164" i="10" s="1"/>
  <c r="O164" i="3"/>
  <c r="AA164" i="12"/>
  <c r="AC164" i="12" s="1"/>
  <c r="AD164" i="12" s="1"/>
  <c r="AA164" i="10"/>
  <c r="AC164" i="10" s="1"/>
  <c r="AD164" i="10" s="1"/>
  <c r="AA164" i="3"/>
  <c r="BC65" i="12"/>
  <c r="BD65" i="12" s="1"/>
  <c r="BE65" i="12" s="1"/>
  <c r="BC65" i="10"/>
  <c r="BD65" i="10" s="1"/>
  <c r="BE65" i="10" s="1"/>
  <c r="C164" i="12"/>
  <c r="C164" i="10"/>
  <c r="E164" i="10" s="1"/>
  <c r="F164" i="10" s="1"/>
  <c r="C164" i="3"/>
  <c r="AE164" i="12"/>
  <c r="AE164" i="10"/>
  <c r="AG164" i="10" s="1"/>
  <c r="AH164" i="10" s="1"/>
  <c r="AE164" i="3"/>
  <c r="W164" i="12"/>
  <c r="Y164" i="12" s="1"/>
  <c r="Z164" i="12" s="1"/>
  <c r="W164" i="10"/>
  <c r="Y164" i="10" s="1"/>
  <c r="Z164" i="10" s="1"/>
  <c r="W164" i="3"/>
  <c r="BB63" i="10"/>
  <c r="J63" i="12"/>
  <c r="D164" i="12" s="1"/>
  <c r="Q163" i="3"/>
  <c r="R163" i="3" s="1"/>
  <c r="T64" i="12"/>
  <c r="U64" i="12" s="1"/>
  <c r="V64" i="12" s="1"/>
  <c r="L64" i="12"/>
  <c r="M64" i="12" s="1"/>
  <c r="N64" i="12" s="1"/>
  <c r="BN63" i="12"/>
  <c r="AF164" i="12" s="1"/>
  <c r="AZ64" i="10"/>
  <c r="BA64" i="10" s="1"/>
  <c r="BF64" i="10" s="1"/>
  <c r="AB165" i="10" s="1"/>
  <c r="T64" i="10"/>
  <c r="U64" i="10" s="1"/>
  <c r="Z64" i="10" s="1"/>
  <c r="L165" i="10" s="1"/>
  <c r="V63" i="12"/>
  <c r="E163" i="10"/>
  <c r="F163" i="10" s="1"/>
  <c r="G65" i="12"/>
  <c r="H65" i="12" s="1"/>
  <c r="I65" i="12" s="1"/>
  <c r="G65" i="10"/>
  <c r="H65" i="10" s="1"/>
  <c r="I65" i="10" s="1"/>
  <c r="AU65" i="12"/>
  <c r="AV65" i="12" s="1"/>
  <c r="AW65" i="12" s="1"/>
  <c r="AU65" i="10"/>
  <c r="AV65" i="10" s="1"/>
  <c r="AW65" i="10" s="1"/>
  <c r="AE65" i="12"/>
  <c r="AF65" i="12" s="1"/>
  <c r="AG65" i="12" s="1"/>
  <c r="AE65" i="10"/>
  <c r="AF65" i="10" s="1"/>
  <c r="AG65" i="10" s="1"/>
  <c r="AM65" i="12"/>
  <c r="AN65" i="12" s="1"/>
  <c r="AO65" i="12" s="1"/>
  <c r="AM65" i="10"/>
  <c r="AN65" i="10" s="1"/>
  <c r="AO65" i="10" s="1"/>
  <c r="W65" i="12"/>
  <c r="X65" i="12" s="1"/>
  <c r="Y65" i="12" s="1"/>
  <c r="W65" i="10"/>
  <c r="X65" i="10" s="1"/>
  <c r="Y65" i="10" s="1"/>
  <c r="U163" i="3"/>
  <c r="V163" i="3" s="1"/>
  <c r="AD63" i="12"/>
  <c r="R63" i="10"/>
  <c r="H164" i="10" s="1"/>
  <c r="AC163" i="3"/>
  <c r="AD163" i="3" s="1"/>
  <c r="AZ64" i="12"/>
  <c r="BA64" i="12" s="1"/>
  <c r="BF64" i="12" s="1"/>
  <c r="AB165" i="12" s="1"/>
  <c r="AR64" i="12"/>
  <c r="AS64" i="12" s="1"/>
  <c r="AX64" i="12" s="1"/>
  <c r="X165" i="12" s="1"/>
  <c r="AL63" i="10"/>
  <c r="N63" i="12"/>
  <c r="AR64" i="10"/>
  <c r="AS64" i="10" s="1"/>
  <c r="AT64" i="10" s="1"/>
  <c r="D64" i="10"/>
  <c r="E64" i="10" s="1"/>
  <c r="F64" i="10" s="1"/>
  <c r="AT63" i="12"/>
  <c r="A66" i="12"/>
  <c r="A66" i="10"/>
  <c r="G164" i="12"/>
  <c r="I164" i="12" s="1"/>
  <c r="J164" i="12" s="1"/>
  <c r="G164" i="10"/>
  <c r="I164" i="10" s="1"/>
  <c r="J164" i="10" s="1"/>
  <c r="G164" i="3"/>
  <c r="Q164" i="12"/>
  <c r="R164" i="12" s="1"/>
  <c r="AJ64" i="12"/>
  <c r="AK64" i="12" s="1"/>
  <c r="AP64" i="12" s="1"/>
  <c r="T165" i="12" s="1"/>
  <c r="AB64" i="12"/>
  <c r="AC64" i="12" s="1"/>
  <c r="AD64" i="12" s="1"/>
  <c r="BG65" i="10"/>
  <c r="AQ65" i="10"/>
  <c r="C65" i="10"/>
  <c r="S65" i="10"/>
  <c r="K65" i="10"/>
  <c r="AI65" i="10"/>
  <c r="AY65" i="10"/>
  <c r="AA65" i="10"/>
  <c r="BH64" i="10"/>
  <c r="BI64" i="10" s="1"/>
  <c r="BJ64" i="10" s="1"/>
  <c r="AB64" i="10"/>
  <c r="AC64" i="10" s="1"/>
  <c r="AD64" i="10" s="1"/>
  <c r="BJ63" i="10"/>
  <c r="M164" i="12"/>
  <c r="N164" i="12" s="1"/>
  <c r="S164" i="12"/>
  <c r="S164" i="10"/>
  <c r="U164" i="10" s="1"/>
  <c r="V164" i="10" s="1"/>
  <c r="S164" i="3"/>
  <c r="BH64" i="12"/>
  <c r="BI64" i="12" s="1"/>
  <c r="BJ64" i="12" s="1"/>
  <c r="D64" i="12"/>
  <c r="E64" i="12" s="1"/>
  <c r="J64" i="12" s="1"/>
  <c r="D165" i="12" s="1"/>
  <c r="AA65" i="12"/>
  <c r="BG65" i="12"/>
  <c r="C65" i="12"/>
  <c r="K65" i="12"/>
  <c r="AQ65" i="12"/>
  <c r="AI65" i="12"/>
  <c r="AY65" i="12"/>
  <c r="S65" i="12"/>
  <c r="AJ64" i="10"/>
  <c r="AK64" i="10" s="1"/>
  <c r="AL64" i="10" s="1"/>
  <c r="L64" i="10"/>
  <c r="M64" i="10" s="1"/>
  <c r="N64" i="10" s="1"/>
  <c r="E163" i="3"/>
  <c r="F163" i="3" s="1"/>
  <c r="AL63" i="3"/>
  <c r="BJ63" i="3"/>
  <c r="AT63" i="3"/>
  <c r="V63" i="3"/>
  <c r="AH63" i="3"/>
  <c r="P164" i="3" s="1"/>
  <c r="F63" i="3"/>
  <c r="N63" i="3"/>
  <c r="BB63" i="3"/>
  <c r="AY77" i="2"/>
  <c r="AZ77" i="2" s="1"/>
  <c r="AD63" i="3"/>
  <c r="BE77" i="2"/>
  <c r="BF77" i="2" s="1"/>
  <c r="AS77" i="2"/>
  <c r="AT77" i="2" s="1"/>
  <c r="Z63" i="3"/>
  <c r="L164" i="3" s="1"/>
  <c r="M164" i="3" s="1"/>
  <c r="N164" i="3" s="1"/>
  <c r="AM77" i="2"/>
  <c r="AN77" i="2" s="1"/>
  <c r="J63" i="3"/>
  <c r="D164" i="3" s="1"/>
  <c r="AP63" i="3"/>
  <c r="T164" i="3" s="1"/>
  <c r="AU65" i="3"/>
  <c r="AV65" i="3" s="1"/>
  <c r="AW65" i="3" s="1"/>
  <c r="AO78" i="2"/>
  <c r="AQ78" i="2"/>
  <c r="AM65" i="3"/>
  <c r="AN65" i="3" s="1"/>
  <c r="AO65" i="3" s="1"/>
  <c r="AI78" i="2"/>
  <c r="AK78" i="2"/>
  <c r="W65" i="3"/>
  <c r="X65" i="3" s="1"/>
  <c r="Y65" i="3" s="1"/>
  <c r="W78" i="2"/>
  <c r="Y78" i="2"/>
  <c r="C65" i="3"/>
  <c r="AA65" i="3"/>
  <c r="AQ65" i="3"/>
  <c r="S65" i="3"/>
  <c r="AI65" i="3"/>
  <c r="K65" i="3"/>
  <c r="BG65" i="3"/>
  <c r="AY65" i="3"/>
  <c r="G65" i="3"/>
  <c r="H65" i="3" s="1"/>
  <c r="I65" i="3" s="1"/>
  <c r="K78" i="2"/>
  <c r="M78" i="2"/>
  <c r="N78" i="2" s="1"/>
  <c r="BC78" i="2"/>
  <c r="BK65" i="3"/>
  <c r="BL65" i="3" s="1"/>
  <c r="BM65" i="3" s="1"/>
  <c r="BA78" i="2"/>
  <c r="A80" i="2"/>
  <c r="A66" i="3"/>
  <c r="H79" i="2"/>
  <c r="B79" i="2"/>
  <c r="G79" i="2"/>
  <c r="D79" i="2"/>
  <c r="I79" i="2"/>
  <c r="E79" i="2"/>
  <c r="F79" i="2"/>
  <c r="C79" i="2"/>
  <c r="BH64" i="3"/>
  <c r="BI64" i="3" s="1"/>
  <c r="AJ64" i="3"/>
  <c r="AK64" i="3" s="1"/>
  <c r="U77" i="2"/>
  <c r="V77" i="2" s="1"/>
  <c r="AA77" i="2"/>
  <c r="AB77" i="2" s="1"/>
  <c r="L77" i="2"/>
  <c r="O77" i="2"/>
  <c r="P77" i="2" s="1"/>
  <c r="BN63" i="3"/>
  <c r="AF164" i="3" s="1"/>
  <c r="AG77" i="2"/>
  <c r="AH77" i="2" s="1"/>
  <c r="D64" i="3"/>
  <c r="E64" i="3" s="1"/>
  <c r="E59" i="22" s="1"/>
  <c r="AZ64" i="3"/>
  <c r="BA64" i="3" s="1"/>
  <c r="AE65" i="3"/>
  <c r="AF65" i="3" s="1"/>
  <c r="AG65" i="3" s="1"/>
  <c r="AC78" i="2"/>
  <c r="AE78" i="2"/>
  <c r="AW78" i="2"/>
  <c r="BC65" i="3"/>
  <c r="BD65" i="3" s="1"/>
  <c r="BE65" i="3" s="1"/>
  <c r="AU78" i="2"/>
  <c r="R63" i="3"/>
  <c r="H164" i="3" s="1"/>
  <c r="T64" i="3"/>
  <c r="U64" i="3" s="1"/>
  <c r="L64" i="3"/>
  <c r="M64" i="3" s="1"/>
  <c r="BF63" i="3"/>
  <c r="AB164" i="3" s="1"/>
  <c r="BG76" i="2"/>
  <c r="AX63" i="3"/>
  <c r="X164" i="3" s="1"/>
  <c r="O65" i="3"/>
  <c r="P65" i="3" s="1"/>
  <c r="Q65" i="3" s="1"/>
  <c r="Q78" i="2"/>
  <c r="S78" i="2"/>
  <c r="AR64" i="3"/>
  <c r="AS64" i="3" s="1"/>
  <c r="AB64" i="3"/>
  <c r="AC64" i="3" s="1"/>
  <c r="U164" i="12" l="1"/>
  <c r="V164" i="12" s="1"/>
  <c r="J64" i="10"/>
  <c r="D165" i="10" s="1"/>
  <c r="Z64" i="12"/>
  <c r="L165" i="12" s="1"/>
  <c r="AP64" i="10"/>
  <c r="T165" i="10" s="1"/>
  <c r="BN64" i="10"/>
  <c r="AF165" i="10" s="1"/>
  <c r="AT64" i="12"/>
  <c r="R64" i="10"/>
  <c r="H165" i="10" s="1"/>
  <c r="AH64" i="10"/>
  <c r="P165" i="10" s="1"/>
  <c r="BN64" i="12"/>
  <c r="AF165" i="12" s="1"/>
  <c r="AL64" i="12"/>
  <c r="AS78" i="2"/>
  <c r="AT78" i="2" s="1"/>
  <c r="W166" i="12" s="1"/>
  <c r="G165" i="12"/>
  <c r="G165" i="10"/>
  <c r="G165" i="3"/>
  <c r="AM66" i="12"/>
  <c r="AN66" i="12" s="1"/>
  <c r="AO66" i="12" s="1"/>
  <c r="AM66" i="10"/>
  <c r="AN66" i="10" s="1"/>
  <c r="AO66" i="10" s="1"/>
  <c r="AU66" i="12"/>
  <c r="AV66" i="12" s="1"/>
  <c r="AW66" i="12" s="1"/>
  <c r="AU66" i="10"/>
  <c r="AV66" i="10" s="1"/>
  <c r="AW66" i="10" s="1"/>
  <c r="A67" i="12"/>
  <c r="A67" i="10"/>
  <c r="W165" i="12"/>
  <c r="Y165" i="12" s="1"/>
  <c r="Z165" i="12" s="1"/>
  <c r="W165" i="10"/>
  <c r="W165" i="3"/>
  <c r="AZ65" i="12"/>
  <c r="BA65" i="12" s="1"/>
  <c r="BB65" i="12" s="1"/>
  <c r="D65" i="12"/>
  <c r="E65" i="12" s="1"/>
  <c r="F65" i="12" s="1"/>
  <c r="F64" i="12"/>
  <c r="AZ65" i="10"/>
  <c r="BA65" i="10" s="1"/>
  <c r="BF65" i="10" s="1"/>
  <c r="AB166" i="10" s="1"/>
  <c r="D65" i="10"/>
  <c r="E65" i="10" s="1"/>
  <c r="J65" i="10" s="1"/>
  <c r="D166" i="10" s="1"/>
  <c r="AH64" i="12"/>
  <c r="P165" i="12" s="1"/>
  <c r="AX64" i="10"/>
  <c r="X165" i="10" s="1"/>
  <c r="BB64" i="12"/>
  <c r="V64" i="10"/>
  <c r="AG164" i="12"/>
  <c r="AH164" i="12" s="1"/>
  <c r="AE66" i="12"/>
  <c r="AF66" i="12" s="1"/>
  <c r="AG66" i="12" s="1"/>
  <c r="AE66" i="10"/>
  <c r="AF66" i="10" s="1"/>
  <c r="AG66" i="10" s="1"/>
  <c r="G66" i="12"/>
  <c r="H66" i="12" s="1"/>
  <c r="I66" i="12" s="1"/>
  <c r="G66" i="10"/>
  <c r="H66" i="10" s="1"/>
  <c r="I66" i="10" s="1"/>
  <c r="W166" i="10"/>
  <c r="W166" i="3"/>
  <c r="AE165" i="12"/>
  <c r="AG165" i="12" s="1"/>
  <c r="AH165" i="12" s="1"/>
  <c r="AE165" i="10"/>
  <c r="AG165" i="10" s="1"/>
  <c r="AH165" i="10" s="1"/>
  <c r="AE165" i="3"/>
  <c r="AJ65" i="12"/>
  <c r="AK65" i="12" s="1"/>
  <c r="AL65" i="12" s="1"/>
  <c r="BH65" i="12"/>
  <c r="BI65" i="12" s="1"/>
  <c r="BJ65" i="12" s="1"/>
  <c r="U164" i="3"/>
  <c r="V164" i="3" s="1"/>
  <c r="AJ65" i="10"/>
  <c r="AK65" i="10" s="1"/>
  <c r="AP65" i="10" s="1"/>
  <c r="T166" i="10" s="1"/>
  <c r="AL65" i="10"/>
  <c r="AR65" i="10"/>
  <c r="AS65" i="10" s="1"/>
  <c r="AX65" i="10" s="1"/>
  <c r="X166" i="10" s="1"/>
  <c r="AQ66" i="10"/>
  <c r="AI66" i="10"/>
  <c r="K66" i="10"/>
  <c r="C66" i="10"/>
  <c r="S66" i="10"/>
  <c r="AA66" i="10"/>
  <c r="AY66" i="10"/>
  <c r="BG66" i="10"/>
  <c r="E164" i="3"/>
  <c r="F164" i="3" s="1"/>
  <c r="Q164" i="3"/>
  <c r="R164" i="3" s="1"/>
  <c r="C165" i="12"/>
  <c r="E165" i="12" s="1"/>
  <c r="F165" i="12" s="1"/>
  <c r="C165" i="10"/>
  <c r="E165" i="10" s="1"/>
  <c r="F165" i="10" s="1"/>
  <c r="C165" i="3"/>
  <c r="BK66" i="12"/>
  <c r="BL66" i="12" s="1"/>
  <c r="BM66" i="12" s="1"/>
  <c r="BK66" i="10"/>
  <c r="BL66" i="10" s="1"/>
  <c r="BM66" i="10" s="1"/>
  <c r="BC66" i="12"/>
  <c r="BD66" i="12" s="1"/>
  <c r="BE66" i="12" s="1"/>
  <c r="BC66" i="10"/>
  <c r="BD66" i="10" s="1"/>
  <c r="BE66" i="10" s="1"/>
  <c r="S165" i="12"/>
  <c r="U165" i="12" s="1"/>
  <c r="V165" i="12" s="1"/>
  <c r="S165" i="10"/>
  <c r="U165" i="10" s="1"/>
  <c r="V165" i="10" s="1"/>
  <c r="S165" i="3"/>
  <c r="AR65" i="12"/>
  <c r="AS65" i="12" s="1"/>
  <c r="AX65" i="12" s="1"/>
  <c r="X166" i="12" s="1"/>
  <c r="AB65" i="12"/>
  <c r="AC65" i="12" s="1"/>
  <c r="AD65" i="12" s="1"/>
  <c r="L65" i="10"/>
  <c r="M65" i="10" s="1"/>
  <c r="R65" i="10" s="1"/>
  <c r="H166" i="10" s="1"/>
  <c r="BH65" i="10"/>
  <c r="BI65" i="10" s="1"/>
  <c r="BN65" i="10" s="1"/>
  <c r="AF166" i="10" s="1"/>
  <c r="I164" i="3"/>
  <c r="J164" i="3" s="1"/>
  <c r="C66" i="12"/>
  <c r="K66" i="12"/>
  <c r="AA66" i="12"/>
  <c r="AI66" i="12"/>
  <c r="S66" i="12"/>
  <c r="AY66" i="12"/>
  <c r="AQ66" i="12"/>
  <c r="BG66" i="12"/>
  <c r="BB64" i="10"/>
  <c r="R64" i="12"/>
  <c r="H165" i="12" s="1"/>
  <c r="AG164" i="3"/>
  <c r="AH164" i="3" s="1"/>
  <c r="AC164" i="3"/>
  <c r="AD164" i="3" s="1"/>
  <c r="O165" i="12"/>
  <c r="O165" i="10"/>
  <c r="Q165" i="10" s="1"/>
  <c r="R165" i="10" s="1"/>
  <c r="O165" i="3"/>
  <c r="K165" i="12"/>
  <c r="K165" i="10"/>
  <c r="M165" i="10" s="1"/>
  <c r="N165" i="10" s="1"/>
  <c r="K165" i="3"/>
  <c r="O66" i="12"/>
  <c r="P66" i="12" s="1"/>
  <c r="Q66" i="12" s="1"/>
  <c r="O66" i="10"/>
  <c r="P66" i="10" s="1"/>
  <c r="Q66" i="10" s="1"/>
  <c r="W66" i="12"/>
  <c r="X66" i="12" s="1"/>
  <c r="Y66" i="12" s="1"/>
  <c r="W66" i="10"/>
  <c r="X66" i="10" s="1"/>
  <c r="Y66" i="10" s="1"/>
  <c r="AA165" i="12"/>
  <c r="AC165" i="12" s="1"/>
  <c r="AD165" i="12" s="1"/>
  <c r="AA165" i="10"/>
  <c r="AC165" i="10" s="1"/>
  <c r="AD165" i="10" s="1"/>
  <c r="AA165" i="3"/>
  <c r="T65" i="12"/>
  <c r="U65" i="12" s="1"/>
  <c r="Z65" i="12" s="1"/>
  <c r="L166" i="12" s="1"/>
  <c r="L65" i="12"/>
  <c r="M65" i="12" s="1"/>
  <c r="N65" i="12" s="1"/>
  <c r="AB65" i="10"/>
  <c r="AC65" i="10" s="1"/>
  <c r="AH65" i="10" s="1"/>
  <c r="P166" i="10" s="1"/>
  <c r="T65" i="10"/>
  <c r="U65" i="10" s="1"/>
  <c r="Z65" i="10" s="1"/>
  <c r="L166" i="10" s="1"/>
  <c r="V65" i="10"/>
  <c r="Y164" i="3"/>
  <c r="Z164" i="3" s="1"/>
  <c r="E164" i="12"/>
  <c r="F164" i="12" s="1"/>
  <c r="N64" i="3"/>
  <c r="AT64" i="3"/>
  <c r="Z64" i="3"/>
  <c r="L165" i="3" s="1"/>
  <c r="BF64" i="3"/>
  <c r="AB165" i="3" s="1"/>
  <c r="AL64" i="3"/>
  <c r="AD64" i="3"/>
  <c r="J64" i="3"/>
  <c r="D165" i="3" s="1"/>
  <c r="BJ64" i="3"/>
  <c r="AG78" i="2"/>
  <c r="AH78" i="2" s="1"/>
  <c r="AM78" i="2"/>
  <c r="AN78" i="2" s="1"/>
  <c r="BN64" i="3"/>
  <c r="AF165" i="3" s="1"/>
  <c r="F64" i="3"/>
  <c r="BG77" i="2"/>
  <c r="R64" i="3"/>
  <c r="H165" i="3" s="1"/>
  <c r="V64" i="3"/>
  <c r="AY78" i="2"/>
  <c r="AZ78" i="2" s="1"/>
  <c r="AP64" i="3"/>
  <c r="T165" i="3" s="1"/>
  <c r="O66" i="3"/>
  <c r="P66" i="3" s="1"/>
  <c r="Q66" i="3" s="1"/>
  <c r="Q79" i="2"/>
  <c r="S79" i="2"/>
  <c r="BE78" i="2"/>
  <c r="BF78" i="2" s="1"/>
  <c r="AZ65" i="3"/>
  <c r="BA65" i="3" s="1"/>
  <c r="AH64" i="3"/>
  <c r="P165" i="3" s="1"/>
  <c r="U78" i="2"/>
  <c r="V78" i="2" s="1"/>
  <c r="BB64" i="3"/>
  <c r="AM66" i="3"/>
  <c r="AN66" i="3" s="1"/>
  <c r="AO66" i="3" s="1"/>
  <c r="AI79" i="2"/>
  <c r="AK79" i="2"/>
  <c r="AU66" i="3"/>
  <c r="AV66" i="3" s="1"/>
  <c r="AW66" i="3" s="1"/>
  <c r="AO79" i="2"/>
  <c r="AQ79" i="2"/>
  <c r="A81" i="2"/>
  <c r="A67" i="3"/>
  <c r="I80" i="2"/>
  <c r="G80" i="2"/>
  <c r="E80" i="2"/>
  <c r="C80" i="2"/>
  <c r="B80" i="2"/>
  <c r="H80" i="2"/>
  <c r="F80" i="2"/>
  <c r="D80" i="2"/>
  <c r="BH65" i="3"/>
  <c r="BI65" i="3" s="1"/>
  <c r="AR65" i="3"/>
  <c r="AS65" i="3" s="1"/>
  <c r="AA78" i="2"/>
  <c r="AB78" i="2" s="1"/>
  <c r="G66" i="3"/>
  <c r="H66" i="3" s="1"/>
  <c r="I66" i="3" s="1"/>
  <c r="K79" i="2"/>
  <c r="M79" i="2"/>
  <c r="N79" i="2" s="1"/>
  <c r="L78" i="2"/>
  <c r="O78" i="2"/>
  <c r="P78" i="2" s="1"/>
  <c r="AE66" i="3"/>
  <c r="AF66" i="3" s="1"/>
  <c r="AG66" i="3" s="1"/>
  <c r="AC79" i="2"/>
  <c r="AE79" i="2"/>
  <c r="L65" i="3"/>
  <c r="M65" i="3" s="1"/>
  <c r="AB65" i="3"/>
  <c r="AC65" i="3" s="1"/>
  <c r="AX64" i="3"/>
  <c r="X165" i="3" s="1"/>
  <c r="BC79" i="2"/>
  <c r="BK66" i="3"/>
  <c r="BL66" i="3" s="1"/>
  <c r="BM66" i="3" s="1"/>
  <c r="BA79" i="2"/>
  <c r="AU79" i="2"/>
  <c r="BC66" i="3"/>
  <c r="BD66" i="3" s="1"/>
  <c r="BE66" i="3" s="1"/>
  <c r="AW79" i="2"/>
  <c r="AJ65" i="3"/>
  <c r="AK65" i="3" s="1"/>
  <c r="D65" i="3"/>
  <c r="E65" i="3" s="1"/>
  <c r="E60" i="22" s="1"/>
  <c r="W66" i="3"/>
  <c r="X66" i="3" s="1"/>
  <c r="Y66" i="3" s="1"/>
  <c r="W79" i="2"/>
  <c r="Y79" i="2"/>
  <c r="C66" i="3"/>
  <c r="K66" i="3"/>
  <c r="BG66" i="3"/>
  <c r="AY66" i="3"/>
  <c r="AA66" i="3"/>
  <c r="AI66" i="3"/>
  <c r="AQ66" i="3"/>
  <c r="S66" i="3"/>
  <c r="T65" i="3"/>
  <c r="U65" i="3" s="1"/>
  <c r="M165" i="12" l="1"/>
  <c r="N165" i="12" s="1"/>
  <c r="I165" i="10"/>
  <c r="J165" i="10" s="1"/>
  <c r="AC165" i="3"/>
  <c r="AD165" i="3" s="1"/>
  <c r="F65" i="10"/>
  <c r="V65" i="12"/>
  <c r="BB65" i="10"/>
  <c r="J65" i="12"/>
  <c r="D166" i="12" s="1"/>
  <c r="U79" i="2"/>
  <c r="V79" i="2" s="1"/>
  <c r="G167" i="12" s="1"/>
  <c r="N65" i="10"/>
  <c r="AT65" i="10"/>
  <c r="BK67" i="12"/>
  <c r="BL67" i="12" s="1"/>
  <c r="BM67" i="12" s="1"/>
  <c r="BK67" i="10"/>
  <c r="BL67" i="10" s="1"/>
  <c r="BM67" i="10" s="1"/>
  <c r="K166" i="12"/>
  <c r="M166" i="12" s="1"/>
  <c r="N166" i="12" s="1"/>
  <c r="K166" i="10"/>
  <c r="K166" i="3"/>
  <c r="AM67" i="12"/>
  <c r="AN67" i="12" s="1"/>
  <c r="AO67" i="12" s="1"/>
  <c r="AM67" i="10"/>
  <c r="AN67" i="10" s="1"/>
  <c r="AO67" i="10" s="1"/>
  <c r="AE67" i="12"/>
  <c r="AF67" i="12" s="1"/>
  <c r="AG67" i="12" s="1"/>
  <c r="AE67" i="10"/>
  <c r="AF67" i="10" s="1"/>
  <c r="AG67" i="10" s="1"/>
  <c r="A68" i="12"/>
  <c r="A68" i="10"/>
  <c r="G166" i="12"/>
  <c r="G166" i="10"/>
  <c r="I166" i="10" s="1"/>
  <c r="J166" i="10" s="1"/>
  <c r="G166" i="3"/>
  <c r="AA166" i="12"/>
  <c r="AA166" i="10"/>
  <c r="AC166" i="10" s="1"/>
  <c r="AD166" i="10" s="1"/>
  <c r="AA166" i="3"/>
  <c r="R65" i="12"/>
  <c r="H166" i="12" s="1"/>
  <c r="Q165" i="3"/>
  <c r="R165" i="3" s="1"/>
  <c r="AR66" i="12"/>
  <c r="AS66" i="12" s="1"/>
  <c r="AT66" i="12" s="1"/>
  <c r="AB66" i="12"/>
  <c r="AC66" i="12" s="1"/>
  <c r="AH66" i="12" s="1"/>
  <c r="P167" i="12" s="1"/>
  <c r="BJ65" i="10"/>
  <c r="AT65" i="12"/>
  <c r="AZ66" i="10"/>
  <c r="BA66" i="10" s="1"/>
  <c r="BB66" i="10" s="1"/>
  <c r="L66" i="10"/>
  <c r="M66" i="10" s="1"/>
  <c r="R66" i="10" s="1"/>
  <c r="H167" i="10" s="1"/>
  <c r="AP65" i="12"/>
  <c r="T166" i="12" s="1"/>
  <c r="Y166" i="12"/>
  <c r="Z166" i="12" s="1"/>
  <c r="BF65" i="12"/>
  <c r="AB166" i="12" s="1"/>
  <c r="Y165" i="10"/>
  <c r="Z165" i="10" s="1"/>
  <c r="I165" i="3"/>
  <c r="J165" i="3" s="1"/>
  <c r="C166" i="12"/>
  <c r="E166" i="12" s="1"/>
  <c r="F166" i="12" s="1"/>
  <c r="C166" i="10"/>
  <c r="E166" i="10" s="1"/>
  <c r="F166" i="10" s="1"/>
  <c r="C166" i="3"/>
  <c r="W67" i="12"/>
  <c r="X67" i="12" s="1"/>
  <c r="Y67" i="12" s="1"/>
  <c r="W67" i="10"/>
  <c r="X67" i="10" s="1"/>
  <c r="Y67" i="10" s="1"/>
  <c r="O67" i="12"/>
  <c r="P67" i="12" s="1"/>
  <c r="Q67" i="12" s="1"/>
  <c r="O67" i="10"/>
  <c r="P67" i="10" s="1"/>
  <c r="Q67" i="10" s="1"/>
  <c r="AE166" i="12"/>
  <c r="AE166" i="10"/>
  <c r="AG166" i="10" s="1"/>
  <c r="AH166" i="10" s="1"/>
  <c r="AE166" i="3"/>
  <c r="BC67" i="12"/>
  <c r="BD67" i="12" s="1"/>
  <c r="BE67" i="12" s="1"/>
  <c r="BC67" i="10"/>
  <c r="BD67" i="10" s="1"/>
  <c r="BE67" i="10" s="1"/>
  <c r="AU67" i="12"/>
  <c r="AV67" i="12" s="1"/>
  <c r="AW67" i="12" s="1"/>
  <c r="AU67" i="10"/>
  <c r="AV67" i="10" s="1"/>
  <c r="AW67" i="10" s="1"/>
  <c r="AD65" i="10"/>
  <c r="M165" i="3"/>
  <c r="N165" i="3" s="1"/>
  <c r="AZ66" i="12"/>
  <c r="BA66" i="12" s="1"/>
  <c r="BF66" i="12" s="1"/>
  <c r="AB167" i="12" s="1"/>
  <c r="L66" i="12"/>
  <c r="M66" i="12" s="1"/>
  <c r="R66" i="12" s="1"/>
  <c r="H167" i="12" s="1"/>
  <c r="AB66" i="10"/>
  <c r="AC66" i="10" s="1"/>
  <c r="AH66" i="10" s="1"/>
  <c r="P167" i="10" s="1"/>
  <c r="AJ66" i="10"/>
  <c r="AK66" i="10" s="1"/>
  <c r="AP66" i="10" s="1"/>
  <c r="T167" i="10" s="1"/>
  <c r="Q165" i="12"/>
  <c r="R165" i="12" s="1"/>
  <c r="S166" i="12"/>
  <c r="U166" i="12" s="1"/>
  <c r="V166" i="12" s="1"/>
  <c r="S166" i="10"/>
  <c r="U166" i="10" s="1"/>
  <c r="V166" i="10" s="1"/>
  <c r="S166" i="3"/>
  <c r="T66" i="12"/>
  <c r="U66" i="12" s="1"/>
  <c r="Z66" i="12" s="1"/>
  <c r="L167" i="12" s="1"/>
  <c r="D66" i="12"/>
  <c r="E66" i="12" s="1"/>
  <c r="J66" i="12" s="1"/>
  <c r="D167" i="12" s="1"/>
  <c r="AH65" i="12"/>
  <c r="P166" i="12" s="1"/>
  <c r="E165" i="3"/>
  <c r="F165" i="3" s="1"/>
  <c r="T66" i="10"/>
  <c r="U66" i="10" s="1"/>
  <c r="Z66" i="10" s="1"/>
  <c r="L167" i="10" s="1"/>
  <c r="AR66" i="10"/>
  <c r="AS66" i="10" s="1"/>
  <c r="AX66" i="10" s="1"/>
  <c r="X167" i="10" s="1"/>
  <c r="BN65" i="12"/>
  <c r="AF166" i="12" s="1"/>
  <c r="AI67" i="10"/>
  <c r="AY67" i="10"/>
  <c r="AQ67" i="10"/>
  <c r="C67" i="10"/>
  <c r="S67" i="10"/>
  <c r="BG67" i="10"/>
  <c r="AA67" i="10"/>
  <c r="K67" i="10"/>
  <c r="I165" i="12"/>
  <c r="J165" i="12" s="1"/>
  <c r="G67" i="12"/>
  <c r="H67" i="12" s="1"/>
  <c r="I67" i="12" s="1"/>
  <c r="G67" i="10"/>
  <c r="H67" i="10" s="1"/>
  <c r="I67" i="10" s="1"/>
  <c r="O166" i="12"/>
  <c r="O166" i="10"/>
  <c r="Q166" i="10" s="1"/>
  <c r="R166" i="10" s="1"/>
  <c r="O166" i="3"/>
  <c r="M166" i="10"/>
  <c r="N166" i="10" s="1"/>
  <c r="BH66" i="12"/>
  <c r="BI66" i="12" s="1"/>
  <c r="BN66" i="12" s="1"/>
  <c r="AF167" i="12" s="1"/>
  <c r="AJ66" i="12"/>
  <c r="AK66" i="12" s="1"/>
  <c r="AP66" i="12" s="1"/>
  <c r="T167" i="12" s="1"/>
  <c r="U165" i="3"/>
  <c r="V165" i="3" s="1"/>
  <c r="BH66" i="10"/>
  <c r="BI66" i="10" s="1"/>
  <c r="BN66" i="10" s="1"/>
  <c r="AF167" i="10" s="1"/>
  <c r="D66" i="10"/>
  <c r="E66" i="10" s="1"/>
  <c r="F66" i="10" s="1"/>
  <c r="AG165" i="3"/>
  <c r="AH165" i="3" s="1"/>
  <c r="Y166" i="10"/>
  <c r="Z166" i="10" s="1"/>
  <c r="Y165" i="3"/>
  <c r="Z165" i="3" s="1"/>
  <c r="AQ67" i="12"/>
  <c r="AY67" i="12"/>
  <c r="AI67" i="12"/>
  <c r="S67" i="12"/>
  <c r="K67" i="12"/>
  <c r="AA67" i="12"/>
  <c r="C67" i="12"/>
  <c r="BG67" i="12"/>
  <c r="V65" i="3"/>
  <c r="F65" i="3"/>
  <c r="AT65" i="3"/>
  <c r="AD65" i="3"/>
  <c r="AL65" i="3"/>
  <c r="BN65" i="3"/>
  <c r="AF166" i="3" s="1"/>
  <c r="BF65" i="3"/>
  <c r="AB166" i="3" s="1"/>
  <c r="R65" i="3"/>
  <c r="H166" i="3" s="1"/>
  <c r="AP65" i="3"/>
  <c r="T166" i="3" s="1"/>
  <c r="AX65" i="3"/>
  <c r="X166" i="3" s="1"/>
  <c r="Y166" i="3" s="1"/>
  <c r="Z166" i="3" s="1"/>
  <c r="AY79" i="2"/>
  <c r="AZ79" i="2" s="1"/>
  <c r="J65" i="3"/>
  <c r="D166" i="3" s="1"/>
  <c r="BE79" i="2"/>
  <c r="BF79" i="2" s="1"/>
  <c r="BJ65" i="3"/>
  <c r="T66" i="3"/>
  <c r="U66" i="3" s="1"/>
  <c r="AZ66" i="3"/>
  <c r="BA66" i="3" s="1"/>
  <c r="BC80" i="2"/>
  <c r="BK67" i="3"/>
  <c r="BL67" i="3" s="1"/>
  <c r="BM67" i="3" s="1"/>
  <c r="BA80" i="2"/>
  <c r="Z65" i="3"/>
  <c r="L166" i="3" s="1"/>
  <c r="AB66" i="3"/>
  <c r="AC66" i="3" s="1"/>
  <c r="D66" i="3"/>
  <c r="E66" i="3" s="1"/>
  <c r="E61" i="22" s="1"/>
  <c r="AH65" i="3"/>
  <c r="P166" i="3" s="1"/>
  <c r="AG79" i="2"/>
  <c r="AH79" i="2" s="1"/>
  <c r="W67" i="3"/>
  <c r="X67" i="3" s="1"/>
  <c r="Y67" i="3" s="1"/>
  <c r="W80" i="2"/>
  <c r="Y80" i="2"/>
  <c r="O67" i="3"/>
  <c r="P67" i="3" s="1"/>
  <c r="Q67" i="3" s="1"/>
  <c r="Q80" i="2"/>
  <c r="S80" i="2"/>
  <c r="C67" i="3"/>
  <c r="AI67" i="3"/>
  <c r="AQ67" i="3"/>
  <c r="BG67" i="3"/>
  <c r="K67" i="3"/>
  <c r="AA67" i="3"/>
  <c r="S67" i="3"/>
  <c r="AY67" i="3"/>
  <c r="BB65" i="3"/>
  <c r="BG79" i="2"/>
  <c r="L79" i="2"/>
  <c r="O79" i="2"/>
  <c r="P79" i="2" s="1"/>
  <c r="AM67" i="3"/>
  <c r="AN67" i="3" s="1"/>
  <c r="AO67" i="3" s="1"/>
  <c r="AI80" i="2"/>
  <c r="AK80" i="2"/>
  <c r="AE67" i="3"/>
  <c r="AF67" i="3" s="1"/>
  <c r="AG67" i="3" s="1"/>
  <c r="AC80" i="2"/>
  <c r="AE80" i="2"/>
  <c r="A82" i="2"/>
  <c r="A68" i="3"/>
  <c r="H81" i="2"/>
  <c r="E81" i="2"/>
  <c r="F81" i="2"/>
  <c r="G81" i="2"/>
  <c r="C81" i="2"/>
  <c r="B81" i="2"/>
  <c r="I81" i="2"/>
  <c r="D81" i="2"/>
  <c r="AR66" i="3"/>
  <c r="AS66" i="3" s="1"/>
  <c r="AX66" i="3" s="1"/>
  <c r="X167" i="3" s="1"/>
  <c r="BH66" i="3"/>
  <c r="BI66" i="3" s="1"/>
  <c r="AA79" i="2"/>
  <c r="AB79" i="2" s="1"/>
  <c r="N65" i="3"/>
  <c r="AU80" i="2"/>
  <c r="BC67" i="3"/>
  <c r="BD67" i="3" s="1"/>
  <c r="BE67" i="3" s="1"/>
  <c r="AW80" i="2"/>
  <c r="AU67" i="3"/>
  <c r="AV67" i="3" s="1"/>
  <c r="AW67" i="3" s="1"/>
  <c r="AO80" i="2"/>
  <c r="AQ80" i="2"/>
  <c r="AS79" i="2"/>
  <c r="AT79" i="2" s="1"/>
  <c r="AM79" i="2"/>
  <c r="AN79" i="2" s="1"/>
  <c r="BG78" i="2"/>
  <c r="AJ66" i="3"/>
  <c r="AK66" i="3" s="1"/>
  <c r="L66" i="3"/>
  <c r="M66" i="3" s="1"/>
  <c r="G67" i="3"/>
  <c r="H67" i="3" s="1"/>
  <c r="I67" i="3" s="1"/>
  <c r="K80" i="2"/>
  <c r="M80" i="2"/>
  <c r="N80" i="2" s="1"/>
  <c r="G167" i="3" l="1"/>
  <c r="G167" i="10"/>
  <c r="AT66" i="10"/>
  <c r="F66" i="12"/>
  <c r="J66" i="10"/>
  <c r="D167" i="10" s="1"/>
  <c r="V66" i="12"/>
  <c r="V66" i="10"/>
  <c r="BJ66" i="12"/>
  <c r="N66" i="12"/>
  <c r="AD66" i="10"/>
  <c r="AM80" i="2"/>
  <c r="AN80" i="2" s="1"/>
  <c r="S167" i="12"/>
  <c r="U167" i="12" s="1"/>
  <c r="V167" i="12" s="1"/>
  <c r="S167" i="10"/>
  <c r="U167" i="10" s="1"/>
  <c r="V167" i="10" s="1"/>
  <c r="S167" i="3"/>
  <c r="W68" i="12"/>
  <c r="X68" i="12" s="1"/>
  <c r="Y68" i="12" s="1"/>
  <c r="W68" i="10"/>
  <c r="X68" i="10" s="1"/>
  <c r="Y68" i="10" s="1"/>
  <c r="AU68" i="12"/>
  <c r="AV68" i="12" s="1"/>
  <c r="AW68" i="12" s="1"/>
  <c r="AU68" i="10"/>
  <c r="AV68" i="10" s="1"/>
  <c r="AW68" i="10" s="1"/>
  <c r="C167" i="12"/>
  <c r="E167" i="12" s="1"/>
  <c r="F167" i="12" s="1"/>
  <c r="C167" i="10"/>
  <c r="E167" i="10" s="1"/>
  <c r="F167" i="10" s="1"/>
  <c r="C167" i="3"/>
  <c r="AB67" i="12"/>
  <c r="AC67" i="12" s="1"/>
  <c r="AH67" i="12" s="1"/>
  <c r="P168" i="12" s="1"/>
  <c r="AZ67" i="12"/>
  <c r="BA67" i="12" s="1"/>
  <c r="BF67" i="12" s="1"/>
  <c r="AB168" i="12" s="1"/>
  <c r="BJ66" i="10"/>
  <c r="AL66" i="12"/>
  <c r="L67" i="10"/>
  <c r="M67" i="10" s="1"/>
  <c r="R67" i="10" s="1"/>
  <c r="H168" i="10" s="1"/>
  <c r="D67" i="10"/>
  <c r="E67" i="10" s="1"/>
  <c r="F67" i="10" s="1"/>
  <c r="U166" i="3"/>
  <c r="V166" i="3" s="1"/>
  <c r="AL66" i="10"/>
  <c r="BB66" i="12"/>
  <c r="E166" i="3"/>
  <c r="F166" i="3" s="1"/>
  <c r="N66" i="10"/>
  <c r="BF66" i="10"/>
  <c r="AB167" i="10" s="1"/>
  <c r="AD66" i="12"/>
  <c r="AX66" i="12"/>
  <c r="X167" i="12" s="1"/>
  <c r="AC166" i="3"/>
  <c r="AD166" i="3" s="1"/>
  <c r="I167" i="10"/>
  <c r="J167" i="10" s="1"/>
  <c r="I166" i="12"/>
  <c r="J166" i="12" s="1"/>
  <c r="W167" i="12"/>
  <c r="Y167" i="12" s="1"/>
  <c r="Z167" i="12" s="1"/>
  <c r="W167" i="10"/>
  <c r="Y167" i="10" s="1"/>
  <c r="Z167" i="10" s="1"/>
  <c r="W167" i="3"/>
  <c r="K167" i="12"/>
  <c r="M167" i="12" s="1"/>
  <c r="N167" i="12" s="1"/>
  <c r="K167" i="10"/>
  <c r="K167" i="3"/>
  <c r="BK68" i="12"/>
  <c r="BL68" i="12" s="1"/>
  <c r="BM68" i="12" s="1"/>
  <c r="BK68" i="10"/>
  <c r="BL68" i="10" s="1"/>
  <c r="BM68" i="10" s="1"/>
  <c r="AM68" i="12"/>
  <c r="AN68" i="12" s="1"/>
  <c r="AO68" i="12" s="1"/>
  <c r="AM68" i="10"/>
  <c r="AN68" i="10" s="1"/>
  <c r="AO68" i="10" s="1"/>
  <c r="A69" i="12"/>
  <c r="A69" i="10"/>
  <c r="AE167" i="12"/>
  <c r="AG167" i="12" s="1"/>
  <c r="AH167" i="12" s="1"/>
  <c r="AE167" i="10"/>
  <c r="AG167" i="10" s="1"/>
  <c r="AH167" i="10" s="1"/>
  <c r="AE167" i="3"/>
  <c r="L67" i="12"/>
  <c r="M67" i="12" s="1"/>
  <c r="N67" i="12" s="1"/>
  <c r="R67" i="12"/>
  <c r="H168" i="12" s="1"/>
  <c r="AR67" i="12"/>
  <c r="AS67" i="12" s="1"/>
  <c r="AX67" i="12" s="1"/>
  <c r="X168" i="12" s="1"/>
  <c r="AB67" i="10"/>
  <c r="AC67" i="10" s="1"/>
  <c r="AH67" i="10" s="1"/>
  <c r="P168" i="10" s="1"/>
  <c r="AR67" i="10"/>
  <c r="AS67" i="10" s="1"/>
  <c r="AX67" i="10" s="1"/>
  <c r="X168" i="10" s="1"/>
  <c r="Q166" i="12"/>
  <c r="R166" i="12" s="1"/>
  <c r="AG166" i="3"/>
  <c r="AH166" i="3" s="1"/>
  <c r="I167" i="12"/>
  <c r="J167" i="12" s="1"/>
  <c r="AI68" i="10"/>
  <c r="K68" i="10"/>
  <c r="S68" i="10"/>
  <c r="AA68" i="10"/>
  <c r="C68" i="10"/>
  <c r="AY68" i="10"/>
  <c r="BG68" i="10"/>
  <c r="AQ68" i="10"/>
  <c r="AE68" i="12"/>
  <c r="AF68" i="12" s="1"/>
  <c r="AG68" i="12" s="1"/>
  <c r="AE68" i="10"/>
  <c r="AF68" i="10" s="1"/>
  <c r="AG68" i="10" s="1"/>
  <c r="S168" i="12"/>
  <c r="S168" i="10"/>
  <c r="S168" i="3"/>
  <c r="O167" i="12"/>
  <c r="Q167" i="12" s="1"/>
  <c r="R167" i="12" s="1"/>
  <c r="O167" i="10"/>
  <c r="Q167" i="10" s="1"/>
  <c r="R167" i="10" s="1"/>
  <c r="O167" i="3"/>
  <c r="BH67" i="12"/>
  <c r="BI67" i="12" s="1"/>
  <c r="BN67" i="12" s="1"/>
  <c r="AF168" i="12" s="1"/>
  <c r="T67" i="12"/>
  <c r="U67" i="12" s="1"/>
  <c r="Z67" i="12" s="1"/>
  <c r="L168" i="12" s="1"/>
  <c r="Q166" i="3"/>
  <c r="R166" i="3" s="1"/>
  <c r="BH67" i="10"/>
  <c r="BI67" i="10" s="1"/>
  <c r="BN67" i="10" s="1"/>
  <c r="AF168" i="10" s="1"/>
  <c r="BJ67" i="10"/>
  <c r="AZ67" i="10"/>
  <c r="BA67" i="10" s="1"/>
  <c r="BF67" i="10" s="1"/>
  <c r="AB168" i="10" s="1"/>
  <c r="M167" i="10"/>
  <c r="N167" i="10" s="1"/>
  <c r="AC166" i="12"/>
  <c r="AD166" i="12" s="1"/>
  <c r="I166" i="3"/>
  <c r="J166" i="3" s="1"/>
  <c r="AA68" i="12"/>
  <c r="K68" i="12"/>
  <c r="AI68" i="12"/>
  <c r="AQ68" i="12"/>
  <c r="C68" i="12"/>
  <c r="AY68" i="12"/>
  <c r="S68" i="12"/>
  <c r="BG68" i="12"/>
  <c r="G68" i="12"/>
  <c r="H68" i="12" s="1"/>
  <c r="I68" i="12" s="1"/>
  <c r="G68" i="10"/>
  <c r="H68" i="10" s="1"/>
  <c r="I68" i="10" s="1"/>
  <c r="Y167" i="3"/>
  <c r="Z167" i="3" s="1"/>
  <c r="O68" i="12"/>
  <c r="P68" i="12" s="1"/>
  <c r="Q68" i="12" s="1"/>
  <c r="O68" i="10"/>
  <c r="P68" i="10" s="1"/>
  <c r="Q68" i="10" s="1"/>
  <c r="BC68" i="12"/>
  <c r="BD68" i="12" s="1"/>
  <c r="BE68" i="12" s="1"/>
  <c r="BC68" i="10"/>
  <c r="BD68" i="10" s="1"/>
  <c r="BE68" i="10" s="1"/>
  <c r="AA167" i="12"/>
  <c r="AC167" i="12" s="1"/>
  <c r="AD167" i="12" s="1"/>
  <c r="AA167" i="10"/>
  <c r="AC167" i="10" s="1"/>
  <c r="AD167" i="10" s="1"/>
  <c r="AA167" i="3"/>
  <c r="D67" i="12"/>
  <c r="E67" i="12" s="1"/>
  <c r="F67" i="12" s="1"/>
  <c r="AJ67" i="12"/>
  <c r="AK67" i="12" s="1"/>
  <c r="AP67" i="12" s="1"/>
  <c r="T168" i="12" s="1"/>
  <c r="T67" i="10"/>
  <c r="U67" i="10" s="1"/>
  <c r="Z67" i="10" s="1"/>
  <c r="L168" i="10" s="1"/>
  <c r="AJ67" i="10"/>
  <c r="AK67" i="10" s="1"/>
  <c r="AP67" i="10" s="1"/>
  <c r="T168" i="10" s="1"/>
  <c r="AG166" i="12"/>
  <c r="AH166" i="12" s="1"/>
  <c r="M166" i="3"/>
  <c r="N166" i="3" s="1"/>
  <c r="V66" i="3"/>
  <c r="AT66" i="3"/>
  <c r="BB66" i="3"/>
  <c r="N66" i="3"/>
  <c r="F66" i="3"/>
  <c r="AL66" i="3"/>
  <c r="BJ66" i="3"/>
  <c r="AD66" i="3"/>
  <c r="BN66" i="3"/>
  <c r="AF167" i="3" s="1"/>
  <c r="AG167" i="3" s="1"/>
  <c r="AH167" i="3" s="1"/>
  <c r="AP66" i="3"/>
  <c r="T167" i="3" s="1"/>
  <c r="U167" i="3" s="1"/>
  <c r="V167" i="3" s="1"/>
  <c r="R66" i="3"/>
  <c r="H167" i="3" s="1"/>
  <c r="I167" i="3" s="1"/>
  <c r="J167" i="3" s="1"/>
  <c r="J66" i="3"/>
  <c r="D167" i="3" s="1"/>
  <c r="BE80" i="2"/>
  <c r="BF80" i="2" s="1"/>
  <c r="G68" i="3"/>
  <c r="H68" i="3" s="1"/>
  <c r="I68" i="3" s="1"/>
  <c r="K81" i="2"/>
  <c r="M81" i="2"/>
  <c r="N81" i="2" s="1"/>
  <c r="T67" i="3"/>
  <c r="U67" i="3" s="1"/>
  <c r="AS80" i="2"/>
  <c r="AT80" i="2" s="1"/>
  <c r="O68" i="3"/>
  <c r="P68" i="3" s="1"/>
  <c r="Q68" i="3" s="1"/>
  <c r="Q81" i="2"/>
  <c r="S81" i="2"/>
  <c r="AU81" i="2"/>
  <c r="BC68" i="3"/>
  <c r="BD68" i="3" s="1"/>
  <c r="BE68" i="3" s="1"/>
  <c r="AW81" i="2"/>
  <c r="AG80" i="2"/>
  <c r="AH80" i="2" s="1"/>
  <c r="AB67" i="3"/>
  <c r="AC67" i="3" s="1"/>
  <c r="AJ67" i="3"/>
  <c r="AK67" i="3" s="1"/>
  <c r="BF66" i="3"/>
  <c r="AB167" i="3" s="1"/>
  <c r="AU68" i="3"/>
  <c r="AV68" i="3" s="1"/>
  <c r="AW68" i="3" s="1"/>
  <c r="AO81" i="2"/>
  <c r="AQ81" i="2"/>
  <c r="AI68" i="3"/>
  <c r="BG68" i="3"/>
  <c r="AY68" i="3"/>
  <c r="K68" i="3"/>
  <c r="AA68" i="3"/>
  <c r="C68" i="3"/>
  <c r="AQ68" i="3"/>
  <c r="S68" i="3"/>
  <c r="L67" i="3"/>
  <c r="M67" i="3" s="1"/>
  <c r="D67" i="3"/>
  <c r="E67" i="3" s="1"/>
  <c r="E62" i="22" s="1"/>
  <c r="AE68" i="3"/>
  <c r="AF68" i="3" s="1"/>
  <c r="AG68" i="3" s="1"/>
  <c r="AC81" i="2"/>
  <c r="AE81" i="2"/>
  <c r="AR67" i="3"/>
  <c r="AS67" i="3" s="1"/>
  <c r="AY80" i="2"/>
  <c r="AZ80" i="2" s="1"/>
  <c r="W68" i="3"/>
  <c r="X68" i="3" s="1"/>
  <c r="Y68" i="3" s="1"/>
  <c r="W81" i="2"/>
  <c r="Y81" i="2"/>
  <c r="L80" i="2"/>
  <c r="O80" i="2"/>
  <c r="P80" i="2" s="1"/>
  <c r="BC81" i="2"/>
  <c r="BK68" i="3"/>
  <c r="BL68" i="3" s="1"/>
  <c r="BM68" i="3" s="1"/>
  <c r="BA81" i="2"/>
  <c r="AM68" i="3"/>
  <c r="AN68" i="3" s="1"/>
  <c r="AO68" i="3" s="1"/>
  <c r="AI81" i="2"/>
  <c r="AK81" i="2"/>
  <c r="A83" i="2"/>
  <c r="A69" i="3"/>
  <c r="G82" i="2"/>
  <c r="I82" i="2"/>
  <c r="D82" i="2"/>
  <c r="H82" i="2"/>
  <c r="E82" i="2"/>
  <c r="C82" i="2"/>
  <c r="B82" i="2"/>
  <c r="F82" i="2"/>
  <c r="AZ67" i="3"/>
  <c r="BA67" i="3" s="1"/>
  <c r="BH67" i="3"/>
  <c r="BI67" i="3" s="1"/>
  <c r="U80" i="2"/>
  <c r="V80" i="2" s="1"/>
  <c r="AA80" i="2"/>
  <c r="AB80" i="2" s="1"/>
  <c r="AH66" i="3"/>
  <c r="P167" i="3" s="1"/>
  <c r="BG80" i="2"/>
  <c r="Z66" i="3"/>
  <c r="L167" i="3" s="1"/>
  <c r="M167" i="3" s="1"/>
  <c r="N167" i="3" s="1"/>
  <c r="V67" i="10" l="1"/>
  <c r="AL67" i="10"/>
  <c r="BB67" i="10"/>
  <c r="AD67" i="10"/>
  <c r="V67" i="12"/>
  <c r="N67" i="10"/>
  <c r="BB67" i="12"/>
  <c r="K168" i="12"/>
  <c r="M168" i="12" s="1"/>
  <c r="N168" i="12" s="1"/>
  <c r="K168" i="10"/>
  <c r="K168" i="3"/>
  <c r="AM69" i="12"/>
  <c r="AN69" i="12" s="1"/>
  <c r="AO69" i="12" s="1"/>
  <c r="AM69" i="10"/>
  <c r="AN69" i="10" s="1"/>
  <c r="AO69" i="10" s="1"/>
  <c r="BC69" i="12"/>
  <c r="BD69" i="12" s="1"/>
  <c r="BE69" i="12" s="1"/>
  <c r="BC69" i="10"/>
  <c r="BD69" i="10" s="1"/>
  <c r="BE69" i="10" s="1"/>
  <c r="C168" i="12"/>
  <c r="C168" i="10"/>
  <c r="C168" i="3"/>
  <c r="AL67" i="12"/>
  <c r="J67" i="12"/>
  <c r="D168" i="12" s="1"/>
  <c r="BH68" i="12"/>
  <c r="BI68" i="12" s="1"/>
  <c r="BN68" i="12" s="1"/>
  <c r="AF169" i="12" s="1"/>
  <c r="AR68" i="12"/>
  <c r="AS68" i="12" s="1"/>
  <c r="AX68" i="12" s="1"/>
  <c r="X169" i="12" s="1"/>
  <c r="U168" i="12"/>
  <c r="V168" i="12" s="1"/>
  <c r="BH68" i="10"/>
  <c r="BI68" i="10" s="1"/>
  <c r="BN68" i="10" s="1"/>
  <c r="AF169" i="10" s="1"/>
  <c r="T68" i="10"/>
  <c r="U68" i="10" s="1"/>
  <c r="V68" i="10" s="1"/>
  <c r="AT67" i="12"/>
  <c r="J67" i="10"/>
  <c r="D168" i="10" s="1"/>
  <c r="G168" i="12"/>
  <c r="I168" i="12" s="1"/>
  <c r="J168" i="12" s="1"/>
  <c r="G168" i="10"/>
  <c r="I168" i="10" s="1"/>
  <c r="J168" i="10" s="1"/>
  <c r="G168" i="3"/>
  <c r="G69" i="12"/>
  <c r="H69" i="12" s="1"/>
  <c r="I69" i="12" s="1"/>
  <c r="G69" i="10"/>
  <c r="H69" i="10" s="1"/>
  <c r="I69" i="10" s="1"/>
  <c r="W69" i="12"/>
  <c r="X69" i="12" s="1"/>
  <c r="Y69" i="12" s="1"/>
  <c r="W69" i="10"/>
  <c r="X69" i="10" s="1"/>
  <c r="Y69" i="10" s="1"/>
  <c r="A70" i="12"/>
  <c r="A70" i="10"/>
  <c r="AA168" i="12"/>
  <c r="AC168" i="12" s="1"/>
  <c r="AD168" i="12" s="1"/>
  <c r="AA168" i="10"/>
  <c r="AC168" i="10" s="1"/>
  <c r="AD168" i="10" s="1"/>
  <c r="AA168" i="3"/>
  <c r="W168" i="12"/>
  <c r="Y168" i="12" s="1"/>
  <c r="Z168" i="12" s="1"/>
  <c r="W168" i="10"/>
  <c r="Y168" i="10" s="1"/>
  <c r="Z168" i="10" s="1"/>
  <c r="W168" i="3"/>
  <c r="M168" i="10"/>
  <c r="N168" i="10" s="1"/>
  <c r="T68" i="12"/>
  <c r="U68" i="12" s="1"/>
  <c r="Z68" i="12" s="1"/>
  <c r="L169" i="12" s="1"/>
  <c r="AJ68" i="12"/>
  <c r="AK68" i="12" s="1"/>
  <c r="AP68" i="12" s="1"/>
  <c r="T169" i="12" s="1"/>
  <c r="BJ67" i="12"/>
  <c r="AZ68" i="10"/>
  <c r="BA68" i="10" s="1"/>
  <c r="BF68" i="10" s="1"/>
  <c r="AB169" i="10" s="1"/>
  <c r="L68" i="10"/>
  <c r="M68" i="10" s="1"/>
  <c r="R68" i="10" s="1"/>
  <c r="H169" i="10" s="1"/>
  <c r="AQ69" i="10"/>
  <c r="C69" i="10"/>
  <c r="AY69" i="10"/>
  <c r="K69" i="10"/>
  <c r="AI69" i="10"/>
  <c r="BG69" i="10"/>
  <c r="AA69" i="10"/>
  <c r="S69" i="10"/>
  <c r="E167" i="3"/>
  <c r="F167" i="3" s="1"/>
  <c r="O69" i="12"/>
  <c r="P69" i="12" s="1"/>
  <c r="Q69" i="12" s="1"/>
  <c r="O69" i="10"/>
  <c r="P69" i="10" s="1"/>
  <c r="Q69" i="10" s="1"/>
  <c r="O168" i="12"/>
  <c r="Q168" i="12" s="1"/>
  <c r="R168" i="12" s="1"/>
  <c r="O168" i="10"/>
  <c r="Q168" i="10" s="1"/>
  <c r="R168" i="10" s="1"/>
  <c r="O168" i="3"/>
  <c r="AE168" i="12"/>
  <c r="AG168" i="12" s="1"/>
  <c r="AH168" i="12" s="1"/>
  <c r="AE168" i="10"/>
  <c r="AG168" i="10" s="1"/>
  <c r="AH168" i="10" s="1"/>
  <c r="AE168" i="3"/>
  <c r="AC167" i="3"/>
  <c r="AD167" i="3" s="1"/>
  <c r="AZ68" i="12"/>
  <c r="BA68" i="12" s="1"/>
  <c r="BF68" i="12" s="1"/>
  <c r="AB169" i="12" s="1"/>
  <c r="L68" i="12"/>
  <c r="M68" i="12" s="1"/>
  <c r="N68" i="12" s="1"/>
  <c r="D68" i="10"/>
  <c r="E68" i="10" s="1"/>
  <c r="F68" i="10" s="1"/>
  <c r="AJ68" i="10"/>
  <c r="AK68" i="10" s="1"/>
  <c r="AL68" i="10" s="1"/>
  <c r="AT67" i="10"/>
  <c r="K69" i="12"/>
  <c r="C69" i="12"/>
  <c r="AI69" i="12"/>
  <c r="AQ69" i="12"/>
  <c r="AY69" i="12"/>
  <c r="AA69" i="12"/>
  <c r="S69" i="12"/>
  <c r="BG69" i="12"/>
  <c r="BK69" i="12"/>
  <c r="BL69" i="12" s="1"/>
  <c r="BM69" i="12" s="1"/>
  <c r="BK69" i="10"/>
  <c r="BL69" i="10" s="1"/>
  <c r="BM69" i="10" s="1"/>
  <c r="AE69" i="12"/>
  <c r="AF69" i="12" s="1"/>
  <c r="AG69" i="12" s="1"/>
  <c r="AE69" i="10"/>
  <c r="AF69" i="10" s="1"/>
  <c r="AG69" i="10" s="1"/>
  <c r="AU69" i="12"/>
  <c r="AV69" i="12" s="1"/>
  <c r="AW69" i="12" s="1"/>
  <c r="AU69" i="10"/>
  <c r="AV69" i="10" s="1"/>
  <c r="AW69" i="10" s="1"/>
  <c r="D68" i="12"/>
  <c r="E68" i="12" s="1"/>
  <c r="F68" i="12" s="1"/>
  <c r="AB68" i="12"/>
  <c r="AC68" i="12" s="1"/>
  <c r="AH68" i="12" s="1"/>
  <c r="P169" i="12" s="1"/>
  <c r="Q167" i="3"/>
  <c r="R167" i="3" s="1"/>
  <c r="U168" i="10"/>
  <c r="V168" i="10" s="1"/>
  <c r="AR68" i="10"/>
  <c r="AS68" i="10" s="1"/>
  <c r="AX68" i="10" s="1"/>
  <c r="X169" i="10" s="1"/>
  <c r="AB68" i="10"/>
  <c r="AC68" i="10" s="1"/>
  <c r="AH68" i="10" s="1"/>
  <c r="P169" i="10" s="1"/>
  <c r="AD68" i="10"/>
  <c r="AD67" i="12"/>
  <c r="BB67" i="3"/>
  <c r="AL67" i="3"/>
  <c r="N67" i="3"/>
  <c r="AH67" i="3"/>
  <c r="P168" i="3" s="1"/>
  <c r="BJ67" i="3"/>
  <c r="AT67" i="3"/>
  <c r="F67" i="3"/>
  <c r="V67" i="3"/>
  <c r="AP67" i="3"/>
  <c r="T168" i="3" s="1"/>
  <c r="U168" i="3" s="1"/>
  <c r="V168" i="3" s="1"/>
  <c r="BF67" i="3"/>
  <c r="AB168" i="3" s="1"/>
  <c r="AM81" i="2"/>
  <c r="AN81" i="2" s="1"/>
  <c r="AA81" i="2"/>
  <c r="AB81" i="2" s="1"/>
  <c r="AX67" i="3"/>
  <c r="X168" i="3" s="1"/>
  <c r="J67" i="3"/>
  <c r="D168" i="3" s="1"/>
  <c r="AY81" i="2"/>
  <c r="AZ81" i="2" s="1"/>
  <c r="Z67" i="3"/>
  <c r="L168" i="3" s="1"/>
  <c r="AM69" i="3"/>
  <c r="AN69" i="3" s="1"/>
  <c r="AO69" i="3" s="1"/>
  <c r="AI82" i="2"/>
  <c r="AK82" i="2"/>
  <c r="AU82" i="2"/>
  <c r="BC69" i="3"/>
  <c r="BD69" i="3" s="1"/>
  <c r="BE69" i="3" s="1"/>
  <c r="AW82" i="2"/>
  <c r="C69" i="3"/>
  <c r="AY69" i="3"/>
  <c r="K69" i="3"/>
  <c r="AA69" i="3"/>
  <c r="S69" i="3"/>
  <c r="AI69" i="3"/>
  <c r="BG69" i="3"/>
  <c r="AQ69" i="3"/>
  <c r="AR68" i="3"/>
  <c r="AS68" i="3" s="1"/>
  <c r="AZ68" i="3"/>
  <c r="BA68" i="3" s="1"/>
  <c r="G69" i="3"/>
  <c r="H69" i="3" s="1"/>
  <c r="I69" i="3" s="1"/>
  <c r="K82" i="2"/>
  <c r="M82" i="2"/>
  <c r="N82" i="2" s="1"/>
  <c r="A84" i="2"/>
  <c r="A70" i="3"/>
  <c r="H83" i="2"/>
  <c r="I83" i="2"/>
  <c r="D83" i="2"/>
  <c r="E83" i="2"/>
  <c r="G83" i="2"/>
  <c r="F83" i="2"/>
  <c r="C83" i="2"/>
  <c r="B83" i="2"/>
  <c r="D68" i="3"/>
  <c r="E68" i="3" s="1"/>
  <c r="E63" i="22" s="1"/>
  <c r="BH68" i="3"/>
  <c r="BI68" i="3" s="1"/>
  <c r="O69" i="3"/>
  <c r="P69" i="3" s="1"/>
  <c r="Q69" i="3" s="1"/>
  <c r="Q82" i="2"/>
  <c r="S82" i="2"/>
  <c r="BC82" i="2"/>
  <c r="BK69" i="3"/>
  <c r="BL69" i="3" s="1"/>
  <c r="BM69" i="3" s="1"/>
  <c r="BA82" i="2"/>
  <c r="R67" i="3"/>
  <c r="H168" i="3" s="1"/>
  <c r="AB68" i="3"/>
  <c r="AC68" i="3" s="1"/>
  <c r="AJ68" i="3"/>
  <c r="AK68" i="3" s="1"/>
  <c r="AD67" i="3"/>
  <c r="L81" i="2"/>
  <c r="O81" i="2"/>
  <c r="P81" i="2" s="1"/>
  <c r="BN67" i="3"/>
  <c r="AF168" i="3" s="1"/>
  <c r="W69" i="3"/>
  <c r="X69" i="3" s="1"/>
  <c r="Y69" i="3" s="1"/>
  <c r="W82" i="2"/>
  <c r="Y82" i="2"/>
  <c r="AG81" i="2"/>
  <c r="AH81" i="2" s="1"/>
  <c r="AE69" i="3"/>
  <c r="AF69" i="3" s="1"/>
  <c r="AG69" i="3" s="1"/>
  <c r="AC82" i="2"/>
  <c r="AE82" i="2"/>
  <c r="AU69" i="3"/>
  <c r="AV69" i="3" s="1"/>
  <c r="AW69" i="3" s="1"/>
  <c r="AO82" i="2"/>
  <c r="AQ82" i="2"/>
  <c r="BE81" i="2"/>
  <c r="BF81" i="2" s="1"/>
  <c r="T68" i="3"/>
  <c r="U68" i="3" s="1"/>
  <c r="L68" i="3"/>
  <c r="M68" i="3" s="1"/>
  <c r="AS81" i="2"/>
  <c r="AT81" i="2" s="1"/>
  <c r="U81" i="2"/>
  <c r="V81" i="2" s="1"/>
  <c r="AP68" i="10" l="1"/>
  <c r="T169" i="10" s="1"/>
  <c r="BE82" i="2"/>
  <c r="BF82" i="2" s="1"/>
  <c r="Y168" i="3"/>
  <c r="Z168" i="3" s="1"/>
  <c r="V68" i="12"/>
  <c r="AT68" i="12"/>
  <c r="O169" i="12"/>
  <c r="O169" i="10"/>
  <c r="Q169" i="10" s="1"/>
  <c r="R169" i="10" s="1"/>
  <c r="O169" i="3"/>
  <c r="AE169" i="12"/>
  <c r="AG169" i="12" s="1"/>
  <c r="AH169" i="12" s="1"/>
  <c r="AE169" i="10"/>
  <c r="AG169" i="10" s="1"/>
  <c r="AH169" i="10" s="1"/>
  <c r="AE169" i="3"/>
  <c r="C169" i="12"/>
  <c r="C169" i="10"/>
  <c r="C169" i="3"/>
  <c r="Q169" i="12"/>
  <c r="R169" i="12" s="1"/>
  <c r="W169" i="12"/>
  <c r="Y169" i="12" s="1"/>
  <c r="Z169" i="12" s="1"/>
  <c r="W169" i="10"/>
  <c r="Y169" i="10" s="1"/>
  <c r="Z169" i="10" s="1"/>
  <c r="W169" i="3"/>
  <c r="AU70" i="12"/>
  <c r="AV70" i="12" s="1"/>
  <c r="AW70" i="12" s="1"/>
  <c r="AU70" i="10"/>
  <c r="AV70" i="10" s="1"/>
  <c r="AW70" i="10" s="1"/>
  <c r="BC70" i="12"/>
  <c r="BD70" i="12" s="1"/>
  <c r="BE70" i="12" s="1"/>
  <c r="BC70" i="10"/>
  <c r="BD70" i="10" s="1"/>
  <c r="BE70" i="10" s="1"/>
  <c r="J68" i="12"/>
  <c r="D169" i="12" s="1"/>
  <c r="AZ69" i="12"/>
  <c r="BA69" i="12" s="1"/>
  <c r="BF69" i="12" s="1"/>
  <c r="AB170" i="12" s="1"/>
  <c r="L69" i="12"/>
  <c r="M69" i="12" s="1"/>
  <c r="R69" i="12" s="1"/>
  <c r="H170" i="12" s="1"/>
  <c r="BB68" i="12"/>
  <c r="AG168" i="3"/>
  <c r="AH168" i="3" s="1"/>
  <c r="AJ69" i="10"/>
  <c r="AK69" i="10" s="1"/>
  <c r="AP69" i="10" s="1"/>
  <c r="T170" i="10" s="1"/>
  <c r="AR69" i="10"/>
  <c r="AS69" i="10" s="1"/>
  <c r="AX69" i="10" s="1"/>
  <c r="X170" i="10" s="1"/>
  <c r="BB68" i="10"/>
  <c r="AL68" i="12"/>
  <c r="BJ68" i="10"/>
  <c r="E168" i="12"/>
  <c r="F168" i="12" s="1"/>
  <c r="O70" i="12"/>
  <c r="P70" i="12" s="1"/>
  <c r="Q70" i="12" s="1"/>
  <c r="O70" i="10"/>
  <c r="P70" i="10" s="1"/>
  <c r="Q70" i="10" s="1"/>
  <c r="AE170" i="12"/>
  <c r="AE170" i="10"/>
  <c r="AE170" i="3"/>
  <c r="AM70" i="12"/>
  <c r="AN70" i="12" s="1"/>
  <c r="AO70" i="12" s="1"/>
  <c r="AM70" i="10"/>
  <c r="AN70" i="10" s="1"/>
  <c r="AO70" i="10" s="1"/>
  <c r="BK70" i="12"/>
  <c r="BL70" i="12" s="1"/>
  <c r="BM70" i="12" s="1"/>
  <c r="BK70" i="10"/>
  <c r="BL70" i="10" s="1"/>
  <c r="BM70" i="10" s="1"/>
  <c r="AA169" i="12"/>
  <c r="AC169" i="12" s="1"/>
  <c r="AD169" i="12" s="1"/>
  <c r="AA169" i="10"/>
  <c r="AC169" i="10" s="1"/>
  <c r="AD169" i="10" s="1"/>
  <c r="AA169" i="3"/>
  <c r="G70" i="12"/>
  <c r="H70" i="12" s="1"/>
  <c r="I70" i="12" s="1"/>
  <c r="G70" i="10"/>
  <c r="H70" i="10" s="1"/>
  <c r="I70" i="10" s="1"/>
  <c r="AE70" i="12"/>
  <c r="AF70" i="12" s="1"/>
  <c r="AG70" i="12" s="1"/>
  <c r="AE70" i="10"/>
  <c r="AF70" i="10" s="1"/>
  <c r="AG70" i="10" s="1"/>
  <c r="AT68" i="10"/>
  <c r="BH69" i="12"/>
  <c r="BI69" i="12" s="1"/>
  <c r="BN69" i="12" s="1"/>
  <c r="AF170" i="12" s="1"/>
  <c r="AR69" i="12"/>
  <c r="AS69" i="12" s="1"/>
  <c r="AX69" i="12" s="1"/>
  <c r="X170" i="12" s="1"/>
  <c r="J68" i="10"/>
  <c r="D169" i="10" s="1"/>
  <c r="R68" i="12"/>
  <c r="H169" i="12" s="1"/>
  <c r="T69" i="10"/>
  <c r="U69" i="10" s="1"/>
  <c r="V69" i="10" s="1"/>
  <c r="L69" i="10"/>
  <c r="M69" i="10" s="1"/>
  <c r="R69" i="10" s="1"/>
  <c r="H170" i="10" s="1"/>
  <c r="N68" i="10"/>
  <c r="AY70" i="10"/>
  <c r="K70" i="10"/>
  <c r="AI70" i="10"/>
  <c r="S70" i="10"/>
  <c r="BG70" i="10"/>
  <c r="AQ70" i="10"/>
  <c r="C70" i="10"/>
  <c r="AA70" i="10"/>
  <c r="Z68" i="10"/>
  <c r="L169" i="10" s="1"/>
  <c r="M168" i="3"/>
  <c r="N168" i="3" s="1"/>
  <c r="W70" i="12"/>
  <c r="X70" i="12" s="1"/>
  <c r="Y70" i="12" s="1"/>
  <c r="W70" i="10"/>
  <c r="X70" i="10" s="1"/>
  <c r="Y70" i="10" s="1"/>
  <c r="A71" i="12"/>
  <c r="A71" i="10"/>
  <c r="K169" i="12"/>
  <c r="M169" i="12" s="1"/>
  <c r="N169" i="12" s="1"/>
  <c r="K169" i="10"/>
  <c r="K169" i="3"/>
  <c r="AD68" i="12"/>
  <c r="T69" i="12"/>
  <c r="U69" i="12" s="1"/>
  <c r="Z69" i="12" s="1"/>
  <c r="L170" i="12" s="1"/>
  <c r="AJ69" i="12"/>
  <c r="AK69" i="12" s="1"/>
  <c r="AL69" i="12" s="1"/>
  <c r="AB69" i="10"/>
  <c r="AC69" i="10" s="1"/>
  <c r="AH69" i="10"/>
  <c r="P170" i="10" s="1"/>
  <c r="AD69" i="10"/>
  <c r="AZ69" i="10"/>
  <c r="BA69" i="10" s="1"/>
  <c r="BB69" i="10" s="1"/>
  <c r="AC168" i="3"/>
  <c r="AD168" i="3" s="1"/>
  <c r="K70" i="12"/>
  <c r="C70" i="12"/>
  <c r="AI70" i="12"/>
  <c r="AY70" i="12"/>
  <c r="S70" i="12"/>
  <c r="BG70" i="12"/>
  <c r="AA70" i="12"/>
  <c r="AQ70" i="12"/>
  <c r="BJ68" i="12"/>
  <c r="E168" i="3"/>
  <c r="F168" i="3" s="1"/>
  <c r="G169" i="12"/>
  <c r="I169" i="12" s="1"/>
  <c r="J169" i="12" s="1"/>
  <c r="G169" i="10"/>
  <c r="I169" i="10" s="1"/>
  <c r="J169" i="10" s="1"/>
  <c r="G169" i="3"/>
  <c r="S169" i="12"/>
  <c r="U169" i="12" s="1"/>
  <c r="V169" i="12" s="1"/>
  <c r="S169" i="10"/>
  <c r="U169" i="10" s="1"/>
  <c r="V169" i="10" s="1"/>
  <c r="S169" i="3"/>
  <c r="AB69" i="12"/>
  <c r="AC69" i="12" s="1"/>
  <c r="AD69" i="12" s="1"/>
  <c r="D69" i="12"/>
  <c r="E69" i="12" s="1"/>
  <c r="F69" i="12" s="1"/>
  <c r="Q168" i="3"/>
  <c r="R168" i="3" s="1"/>
  <c r="BH69" i="10"/>
  <c r="BI69" i="10" s="1"/>
  <c r="BN69" i="10" s="1"/>
  <c r="AF170" i="10" s="1"/>
  <c r="D69" i="10"/>
  <c r="E69" i="10" s="1"/>
  <c r="F69" i="10" s="1"/>
  <c r="I168" i="3"/>
  <c r="J168" i="3" s="1"/>
  <c r="E168" i="10"/>
  <c r="F168" i="10" s="1"/>
  <c r="Z68" i="3"/>
  <c r="L169" i="3" s="1"/>
  <c r="BF68" i="3"/>
  <c r="AB169" i="3" s="1"/>
  <c r="AD68" i="3"/>
  <c r="BN68" i="3"/>
  <c r="AF169" i="3" s="1"/>
  <c r="AT68" i="3"/>
  <c r="AP68" i="3"/>
  <c r="T169" i="3" s="1"/>
  <c r="J68" i="3"/>
  <c r="D169" i="3" s="1"/>
  <c r="N68" i="3"/>
  <c r="BJ68" i="3"/>
  <c r="AL68" i="3"/>
  <c r="AX68" i="3"/>
  <c r="X169" i="3" s="1"/>
  <c r="R68" i="3"/>
  <c r="H169" i="3" s="1"/>
  <c r="F68" i="3"/>
  <c r="BB68" i="3"/>
  <c r="AH68" i="3"/>
  <c r="P169" i="3" s="1"/>
  <c r="W70" i="3"/>
  <c r="X70" i="3" s="1"/>
  <c r="Y70" i="3" s="1"/>
  <c r="W83" i="2"/>
  <c r="Y83" i="2"/>
  <c r="AJ69" i="3"/>
  <c r="AK69" i="3" s="1"/>
  <c r="BG81" i="2"/>
  <c r="AM70" i="3"/>
  <c r="AN70" i="3" s="1"/>
  <c r="AO70" i="3" s="1"/>
  <c r="AI83" i="2"/>
  <c r="AK83" i="2"/>
  <c r="BC83" i="2"/>
  <c r="BK70" i="3"/>
  <c r="BL70" i="3" s="1"/>
  <c r="BM70" i="3" s="1"/>
  <c r="BA83" i="2"/>
  <c r="V68" i="3"/>
  <c r="AS82" i="2"/>
  <c r="AT82" i="2" s="1"/>
  <c r="AG82" i="2"/>
  <c r="AH82" i="2" s="1"/>
  <c r="AA82" i="2"/>
  <c r="AB82" i="2" s="1"/>
  <c r="U82" i="2"/>
  <c r="V82" i="2" s="1"/>
  <c r="AU70" i="3"/>
  <c r="AV70" i="3" s="1"/>
  <c r="AW70" i="3" s="1"/>
  <c r="AO83" i="2"/>
  <c r="AQ83" i="2"/>
  <c r="AU83" i="2"/>
  <c r="BC70" i="3"/>
  <c r="BD70" i="3" s="1"/>
  <c r="BE70" i="3" s="1"/>
  <c r="AW83" i="2"/>
  <c r="L82" i="2"/>
  <c r="O82" i="2"/>
  <c r="P82" i="2" s="1"/>
  <c r="AX69" i="3"/>
  <c r="X170" i="3" s="1"/>
  <c r="AR69" i="3"/>
  <c r="AS69" i="3" s="1"/>
  <c r="AB69" i="3"/>
  <c r="AC69" i="3" s="1"/>
  <c r="AY82" i="2"/>
  <c r="AZ82" i="2" s="1"/>
  <c r="AM82" i="2"/>
  <c r="AN82" i="2" s="1"/>
  <c r="O70" i="3"/>
  <c r="P70" i="3" s="1"/>
  <c r="Q70" i="3" s="1"/>
  <c r="Q83" i="2"/>
  <c r="S83" i="2"/>
  <c r="A71" i="3"/>
  <c r="I84" i="2"/>
  <c r="G84" i="2"/>
  <c r="H84" i="2"/>
  <c r="E84" i="2"/>
  <c r="C84" i="2"/>
  <c r="B84" i="2"/>
  <c r="F84" i="2"/>
  <c r="D84" i="2"/>
  <c r="AZ69" i="3"/>
  <c r="BA69" i="3" s="1"/>
  <c r="BG82" i="2"/>
  <c r="T69" i="3"/>
  <c r="U69" i="3" s="1"/>
  <c r="D69" i="3"/>
  <c r="E69" i="3" s="1"/>
  <c r="E64" i="22" s="1"/>
  <c r="G70" i="3"/>
  <c r="H70" i="3" s="1"/>
  <c r="I70" i="3" s="1"/>
  <c r="K83" i="2"/>
  <c r="M83" i="2"/>
  <c r="N83" i="2" s="1"/>
  <c r="AE70" i="3"/>
  <c r="AF70" i="3" s="1"/>
  <c r="AG70" i="3" s="1"/>
  <c r="AC83" i="2"/>
  <c r="AE83" i="2"/>
  <c r="S70" i="3"/>
  <c r="C70" i="3"/>
  <c r="K70" i="3"/>
  <c r="BG70" i="3"/>
  <c r="AY70" i="3"/>
  <c r="AA70" i="3"/>
  <c r="AI70" i="3"/>
  <c r="AQ70" i="3"/>
  <c r="BH69" i="3"/>
  <c r="BI69" i="3" s="1"/>
  <c r="L69" i="3"/>
  <c r="M69" i="3" s="1"/>
  <c r="AL69" i="10" l="1"/>
  <c r="AP69" i="12"/>
  <c r="T170" i="12" s="1"/>
  <c r="BJ69" i="10"/>
  <c r="BF69" i="10"/>
  <c r="AB170" i="10" s="1"/>
  <c r="Z69" i="10"/>
  <c r="L170" i="10" s="1"/>
  <c r="AT69" i="12"/>
  <c r="J69" i="10"/>
  <c r="D170" i="10" s="1"/>
  <c r="BB69" i="12"/>
  <c r="J69" i="12"/>
  <c r="D170" i="12" s="1"/>
  <c r="N69" i="10"/>
  <c r="AH69" i="12"/>
  <c r="P170" i="12" s="1"/>
  <c r="G71" i="12"/>
  <c r="H71" i="12" s="1"/>
  <c r="I71" i="12" s="1"/>
  <c r="G71" i="10"/>
  <c r="H71" i="10" s="1"/>
  <c r="I71" i="10" s="1"/>
  <c r="O71" i="12"/>
  <c r="P71" i="12" s="1"/>
  <c r="Q71" i="12" s="1"/>
  <c r="O71" i="10"/>
  <c r="P71" i="10" s="1"/>
  <c r="Q71" i="10" s="1"/>
  <c r="BK71" i="12"/>
  <c r="BL71" i="12" s="1"/>
  <c r="BM71" i="12" s="1"/>
  <c r="BK71" i="10"/>
  <c r="BL71" i="10" s="1"/>
  <c r="BM71" i="10" s="1"/>
  <c r="O170" i="12"/>
  <c r="O170" i="10"/>
  <c r="Q170" i="10" s="1"/>
  <c r="R170" i="10" s="1"/>
  <c r="O170" i="3"/>
  <c r="Q170" i="12"/>
  <c r="R170" i="12" s="1"/>
  <c r="BH70" i="12"/>
  <c r="BI70" i="12" s="1"/>
  <c r="BJ70" i="12" s="1"/>
  <c r="D70" i="12"/>
  <c r="E70" i="12" s="1"/>
  <c r="F70" i="12" s="1"/>
  <c r="V69" i="12"/>
  <c r="M169" i="3"/>
  <c r="N169" i="3" s="1"/>
  <c r="AQ71" i="12"/>
  <c r="S71" i="12"/>
  <c r="C71" i="12"/>
  <c r="AI71" i="12"/>
  <c r="AY71" i="12"/>
  <c r="K71" i="12"/>
  <c r="AA71" i="12"/>
  <c r="BG71" i="12"/>
  <c r="M169" i="10"/>
  <c r="N169" i="10" s="1"/>
  <c r="BH70" i="10"/>
  <c r="BI70" i="10" s="1"/>
  <c r="BJ70" i="10" s="1"/>
  <c r="AZ70" i="10"/>
  <c r="BA70" i="10" s="1"/>
  <c r="BB70" i="10" s="1"/>
  <c r="AC169" i="3"/>
  <c r="AD169" i="3" s="1"/>
  <c r="AG170" i="10"/>
  <c r="AH170" i="10" s="1"/>
  <c r="AT69" i="10"/>
  <c r="N69" i="12"/>
  <c r="E169" i="10"/>
  <c r="F169" i="10" s="1"/>
  <c r="BC71" i="12"/>
  <c r="BD71" i="12" s="1"/>
  <c r="BE71" i="12" s="1"/>
  <c r="BC71" i="10"/>
  <c r="BD71" i="10" s="1"/>
  <c r="BE71" i="10" s="1"/>
  <c r="AU71" i="12"/>
  <c r="AV71" i="12" s="1"/>
  <c r="AW71" i="12" s="1"/>
  <c r="AU71" i="10"/>
  <c r="AV71" i="10" s="1"/>
  <c r="AW71" i="10" s="1"/>
  <c r="W71" i="12"/>
  <c r="X71" i="12" s="1"/>
  <c r="Y71" i="12" s="1"/>
  <c r="W71" i="10"/>
  <c r="X71" i="10" s="1"/>
  <c r="Y71" i="10" s="1"/>
  <c r="AE71" i="12"/>
  <c r="AF71" i="12" s="1"/>
  <c r="AG71" i="12" s="1"/>
  <c r="AE71" i="10"/>
  <c r="AF71" i="10" s="1"/>
  <c r="AG71" i="10" s="1"/>
  <c r="S170" i="12"/>
  <c r="U170" i="12" s="1"/>
  <c r="V170" i="12" s="1"/>
  <c r="S170" i="10"/>
  <c r="U170" i="10" s="1"/>
  <c r="V170" i="10" s="1"/>
  <c r="S170" i="3"/>
  <c r="W170" i="12"/>
  <c r="Y170" i="12" s="1"/>
  <c r="Z170" i="12" s="1"/>
  <c r="W170" i="10"/>
  <c r="Y170" i="10" s="1"/>
  <c r="Z170" i="10" s="1"/>
  <c r="W170" i="3"/>
  <c r="Y170" i="3" s="1"/>
  <c r="Z170" i="3" s="1"/>
  <c r="I169" i="3"/>
  <c r="J169" i="3" s="1"/>
  <c r="T70" i="12"/>
  <c r="U70" i="12" s="1"/>
  <c r="Z70" i="12" s="1"/>
  <c r="L171" i="12" s="1"/>
  <c r="L70" i="12"/>
  <c r="M70" i="12" s="1"/>
  <c r="R70" i="12" s="1"/>
  <c r="H171" i="12" s="1"/>
  <c r="AB70" i="10"/>
  <c r="AC70" i="10" s="1"/>
  <c r="AD70" i="10" s="1"/>
  <c r="T70" i="10"/>
  <c r="U70" i="10" s="1"/>
  <c r="Z70" i="10" s="1"/>
  <c r="L171" i="10" s="1"/>
  <c r="BJ69" i="12"/>
  <c r="AG170" i="12"/>
  <c r="AH170" i="12" s="1"/>
  <c r="E169" i="12"/>
  <c r="F169" i="12" s="1"/>
  <c r="Q169" i="3"/>
  <c r="R169" i="3" s="1"/>
  <c r="AA170" i="12"/>
  <c r="AC170" i="12" s="1"/>
  <c r="AD170" i="12" s="1"/>
  <c r="AA170" i="10"/>
  <c r="AA170" i="3"/>
  <c r="C170" i="12"/>
  <c r="E170" i="12" s="1"/>
  <c r="F170" i="12" s="1"/>
  <c r="C170" i="10"/>
  <c r="E170" i="10" s="1"/>
  <c r="F170" i="10" s="1"/>
  <c r="C170" i="3"/>
  <c r="G170" i="12"/>
  <c r="I170" i="12" s="1"/>
  <c r="J170" i="12" s="1"/>
  <c r="G170" i="10"/>
  <c r="I170" i="10" s="1"/>
  <c r="J170" i="10" s="1"/>
  <c r="G170" i="3"/>
  <c r="U169" i="3"/>
  <c r="V169" i="3" s="1"/>
  <c r="AR70" i="12"/>
  <c r="AS70" i="12" s="1"/>
  <c r="AT70" i="12" s="1"/>
  <c r="AZ70" i="12"/>
  <c r="BA70" i="12" s="1"/>
  <c r="BF70" i="12" s="1"/>
  <c r="AB171" i="12" s="1"/>
  <c r="D70" i="10"/>
  <c r="E70" i="10" s="1"/>
  <c r="F70" i="10" s="1"/>
  <c r="AJ70" i="10"/>
  <c r="AK70" i="10" s="1"/>
  <c r="AP70" i="10" s="1"/>
  <c r="T171" i="10" s="1"/>
  <c r="AG169" i="3"/>
  <c r="AH169" i="3" s="1"/>
  <c r="AM71" i="12"/>
  <c r="AN71" i="12" s="1"/>
  <c r="AO71" i="12" s="1"/>
  <c r="AM71" i="10"/>
  <c r="AN71" i="10" s="1"/>
  <c r="AO71" i="10" s="1"/>
  <c r="K170" i="12"/>
  <c r="M170" i="12" s="1"/>
  <c r="N170" i="12" s="1"/>
  <c r="K170" i="10"/>
  <c r="M170" i="10" s="1"/>
  <c r="N170" i="10" s="1"/>
  <c r="K170" i="3"/>
  <c r="AB70" i="12"/>
  <c r="AC70" i="12" s="1"/>
  <c r="AH70" i="12" s="1"/>
  <c r="P171" i="12" s="1"/>
  <c r="AJ70" i="12"/>
  <c r="AK70" i="12" s="1"/>
  <c r="AP70" i="12" s="1"/>
  <c r="T171" i="12" s="1"/>
  <c r="AI71" i="10"/>
  <c r="K71" i="10"/>
  <c r="S71" i="10"/>
  <c r="AA71" i="10"/>
  <c r="BG71" i="10"/>
  <c r="AQ71" i="10"/>
  <c r="C71" i="10"/>
  <c r="AY71" i="10"/>
  <c r="AR70" i="10"/>
  <c r="AS70" i="10" s="1"/>
  <c r="AX70" i="10" s="1"/>
  <c r="X171" i="10" s="1"/>
  <c r="L70" i="10"/>
  <c r="M70" i="10" s="1"/>
  <c r="N70" i="10" s="1"/>
  <c r="Y169" i="3"/>
  <c r="Z169" i="3" s="1"/>
  <c r="E169" i="3"/>
  <c r="F169" i="3" s="1"/>
  <c r="BJ69" i="3"/>
  <c r="Z69" i="3"/>
  <c r="L170" i="3" s="1"/>
  <c r="AL69" i="3"/>
  <c r="J69" i="3"/>
  <c r="D170" i="3" s="1"/>
  <c r="N69" i="3"/>
  <c r="AD69" i="3"/>
  <c r="BF69" i="3"/>
  <c r="AB170" i="3" s="1"/>
  <c r="AT69" i="3"/>
  <c r="AY83" i="2"/>
  <c r="AZ83" i="2" s="1"/>
  <c r="R69" i="3"/>
  <c r="H170" i="3" s="1"/>
  <c r="AH69" i="3"/>
  <c r="P170" i="3" s="1"/>
  <c r="AA83" i="2"/>
  <c r="AB83" i="2" s="1"/>
  <c r="U83" i="2"/>
  <c r="V83" i="2" s="1"/>
  <c r="AP69" i="3"/>
  <c r="T170" i="3" s="1"/>
  <c r="L83" i="2"/>
  <c r="O83" i="2"/>
  <c r="P83" i="2" s="1"/>
  <c r="AM71" i="3"/>
  <c r="AN71" i="3" s="1"/>
  <c r="AO71" i="3" s="1"/>
  <c r="AI84" i="2"/>
  <c r="AK84" i="2"/>
  <c r="AU84" i="2"/>
  <c r="BC71" i="3"/>
  <c r="BD71" i="3" s="1"/>
  <c r="BE71" i="3" s="1"/>
  <c r="AW84" i="2"/>
  <c r="BE83" i="2"/>
  <c r="BF83" i="2" s="1"/>
  <c r="AR70" i="3"/>
  <c r="AS70" i="3" s="1"/>
  <c r="BH70" i="3"/>
  <c r="BI70" i="3" s="1"/>
  <c r="AJ70" i="3"/>
  <c r="AK70" i="3" s="1"/>
  <c r="L70" i="3"/>
  <c r="M70" i="3" s="1"/>
  <c r="AG83" i="2"/>
  <c r="AH83" i="2" s="1"/>
  <c r="V69" i="3"/>
  <c r="G71" i="3"/>
  <c r="H71" i="3" s="1"/>
  <c r="I71" i="3" s="1"/>
  <c r="K84" i="2"/>
  <c r="M84" i="2"/>
  <c r="N84" i="2" s="1"/>
  <c r="AU71" i="3"/>
  <c r="AV71" i="3" s="1"/>
  <c r="AW71" i="3" s="1"/>
  <c r="AO84" i="2"/>
  <c r="AQ84" i="2"/>
  <c r="BN69" i="3"/>
  <c r="AF170" i="3" s="1"/>
  <c r="AG170" i="3" s="1"/>
  <c r="AH170" i="3" s="1"/>
  <c r="AB70" i="3"/>
  <c r="AC70" i="3" s="1"/>
  <c r="D70" i="3"/>
  <c r="E70" i="3" s="1"/>
  <c r="E65" i="22" s="1"/>
  <c r="BB69" i="3"/>
  <c r="O71" i="3"/>
  <c r="P71" i="3" s="1"/>
  <c r="Q71" i="3" s="1"/>
  <c r="Q84" i="2"/>
  <c r="S84" i="2"/>
  <c r="BC84" i="2"/>
  <c r="BK71" i="3"/>
  <c r="BL71" i="3" s="1"/>
  <c r="BM71" i="3" s="1"/>
  <c r="BA84" i="2"/>
  <c r="AZ70" i="3"/>
  <c r="BA70" i="3" s="1"/>
  <c r="T70" i="3"/>
  <c r="U70" i="3" s="1"/>
  <c r="F69" i="3"/>
  <c r="W71" i="3"/>
  <c r="X71" i="3" s="1"/>
  <c r="Y71" i="3" s="1"/>
  <c r="W84" i="2"/>
  <c r="Y84" i="2"/>
  <c r="AE71" i="3"/>
  <c r="AF71" i="3" s="1"/>
  <c r="AG71" i="3" s="1"/>
  <c r="AC84" i="2"/>
  <c r="AE84" i="2"/>
  <c r="C71" i="3"/>
  <c r="AA71" i="3"/>
  <c r="S71" i="3"/>
  <c r="AI71" i="3"/>
  <c r="BG71" i="3"/>
  <c r="AQ71" i="3"/>
  <c r="AY71" i="3"/>
  <c r="K71" i="3"/>
  <c r="AS83" i="2"/>
  <c r="AT83" i="2" s="1"/>
  <c r="AM83" i="2"/>
  <c r="AN83" i="2" s="1"/>
  <c r="AC170" i="10" l="1"/>
  <c r="AD170" i="10" s="1"/>
  <c r="AH70" i="10"/>
  <c r="P171" i="10" s="1"/>
  <c r="BN70" i="10"/>
  <c r="AF171" i="10" s="1"/>
  <c r="V70" i="12"/>
  <c r="AL70" i="10"/>
  <c r="AT70" i="10"/>
  <c r="J70" i="12"/>
  <c r="D171" i="12" s="1"/>
  <c r="AL70" i="12"/>
  <c r="E170" i="3"/>
  <c r="F170" i="3" s="1"/>
  <c r="AX70" i="12"/>
  <c r="X171" i="12" s="1"/>
  <c r="BE84" i="2"/>
  <c r="BF84" i="2" s="1"/>
  <c r="AE172" i="3" s="1"/>
  <c r="J70" i="10"/>
  <c r="D171" i="10" s="1"/>
  <c r="N70" i="12"/>
  <c r="G171" i="12"/>
  <c r="I171" i="12" s="1"/>
  <c r="J171" i="12" s="1"/>
  <c r="G171" i="10"/>
  <c r="G171" i="3"/>
  <c r="AA171" i="12"/>
  <c r="AC171" i="12" s="1"/>
  <c r="AD171" i="12" s="1"/>
  <c r="AD105" i="12" s="1"/>
  <c r="AA171" i="10"/>
  <c r="AA171" i="3"/>
  <c r="R70" i="10"/>
  <c r="H171" i="10" s="1"/>
  <c r="AR71" i="10"/>
  <c r="AS71" i="10" s="1"/>
  <c r="AX71" i="10" s="1"/>
  <c r="X172" i="10" s="1"/>
  <c r="L71" i="10"/>
  <c r="M71" i="10" s="1"/>
  <c r="R71" i="10" s="1"/>
  <c r="H172" i="10" s="1"/>
  <c r="BB70" i="12"/>
  <c r="V70" i="10"/>
  <c r="U170" i="3"/>
  <c r="V170" i="3" s="1"/>
  <c r="BF70" i="10"/>
  <c r="AB171" i="10" s="1"/>
  <c r="AB71" i="12"/>
  <c r="AC71" i="12" s="1"/>
  <c r="AH71" i="12" s="1"/>
  <c r="P172" i="12" s="1"/>
  <c r="D71" i="12"/>
  <c r="E71" i="12" s="1"/>
  <c r="J71" i="12" s="1"/>
  <c r="D172" i="12" s="1"/>
  <c r="W171" i="12"/>
  <c r="W171" i="10"/>
  <c r="Y171" i="10" s="1"/>
  <c r="Z171" i="10" s="1"/>
  <c r="W171" i="3"/>
  <c r="S171" i="12"/>
  <c r="U171" i="12" s="1"/>
  <c r="V171" i="12" s="1"/>
  <c r="S171" i="10"/>
  <c r="U171" i="10" s="1"/>
  <c r="V171" i="10" s="1"/>
  <c r="S171" i="3"/>
  <c r="O171" i="12"/>
  <c r="Q171" i="12" s="1"/>
  <c r="R171" i="12" s="1"/>
  <c r="O171" i="10"/>
  <c r="Q171" i="10" s="1"/>
  <c r="R171" i="10" s="1"/>
  <c r="O171" i="3"/>
  <c r="C171" i="12"/>
  <c r="E171" i="12" s="1"/>
  <c r="F171" i="12" s="1"/>
  <c r="C171" i="10"/>
  <c r="C171" i="3"/>
  <c r="K171" i="12"/>
  <c r="M171" i="12" s="1"/>
  <c r="N171" i="12" s="1"/>
  <c r="K171" i="10"/>
  <c r="M171" i="10" s="1"/>
  <c r="N171" i="10" s="1"/>
  <c r="K171" i="3"/>
  <c r="BH71" i="10"/>
  <c r="BI71" i="10" s="1"/>
  <c r="BN71" i="10" s="1"/>
  <c r="AF172" i="10" s="1"/>
  <c r="AJ71" i="10"/>
  <c r="AK71" i="10" s="1"/>
  <c r="AP71" i="10" s="1"/>
  <c r="T172" i="10" s="1"/>
  <c r="AD70" i="12"/>
  <c r="AC170" i="3"/>
  <c r="AD170" i="3" s="1"/>
  <c r="L71" i="12"/>
  <c r="M71" i="12" s="1"/>
  <c r="R71" i="12" s="1"/>
  <c r="H172" i="12" s="1"/>
  <c r="T71" i="12"/>
  <c r="U71" i="12" s="1"/>
  <c r="V71" i="12" s="1"/>
  <c r="BN70" i="12"/>
  <c r="AF171" i="12" s="1"/>
  <c r="AZ71" i="10"/>
  <c r="BA71" i="10" s="1"/>
  <c r="BB71" i="10" s="1"/>
  <c r="AZ71" i="12"/>
  <c r="BA71" i="12" s="1"/>
  <c r="BF71" i="12" s="1"/>
  <c r="AB172" i="12" s="1"/>
  <c r="AR71" i="12"/>
  <c r="AS71" i="12" s="1"/>
  <c r="AT71" i="12" s="1"/>
  <c r="AE171" i="12"/>
  <c r="AG171" i="12" s="1"/>
  <c r="AH171" i="12" s="1"/>
  <c r="AE171" i="10"/>
  <c r="AG171" i="10" s="1"/>
  <c r="AH171" i="10" s="1"/>
  <c r="AE171" i="3"/>
  <c r="AB71" i="10"/>
  <c r="AC71" i="10" s="1"/>
  <c r="AD71" i="10" s="1"/>
  <c r="D71" i="10"/>
  <c r="E71" i="10" s="1"/>
  <c r="F71" i="10" s="1"/>
  <c r="T71" i="10"/>
  <c r="U71" i="10" s="1"/>
  <c r="V71" i="10" s="1"/>
  <c r="M170" i="3"/>
  <c r="N170" i="3" s="1"/>
  <c r="I170" i="3"/>
  <c r="J170" i="3" s="1"/>
  <c r="BH71" i="12"/>
  <c r="BI71" i="12" s="1"/>
  <c r="BJ71" i="12" s="1"/>
  <c r="AJ71" i="12"/>
  <c r="AK71" i="12" s="1"/>
  <c r="AL71" i="12" s="1"/>
  <c r="Q170" i="3"/>
  <c r="R170" i="3" s="1"/>
  <c r="BB70" i="3"/>
  <c r="F70" i="3"/>
  <c r="AL70" i="3"/>
  <c r="AT70" i="3"/>
  <c r="BN70" i="3"/>
  <c r="AF171" i="3" s="1"/>
  <c r="V70" i="3"/>
  <c r="N70" i="3"/>
  <c r="AD70" i="3"/>
  <c r="BJ70" i="3"/>
  <c r="AA84" i="2"/>
  <c r="AB84" i="2" s="1"/>
  <c r="Z70" i="3"/>
  <c r="L171" i="3" s="1"/>
  <c r="U84" i="2"/>
  <c r="V84" i="2" s="1"/>
  <c r="R70" i="3"/>
  <c r="H171" i="3" s="1"/>
  <c r="AY84" i="2"/>
  <c r="AZ84" i="2" s="1"/>
  <c r="AM84" i="2"/>
  <c r="AN84" i="2" s="1"/>
  <c r="AJ71" i="3"/>
  <c r="AK71" i="3" s="1"/>
  <c r="AG84" i="2"/>
  <c r="AH84" i="2" s="1"/>
  <c r="BG84" i="2"/>
  <c r="AH70" i="3"/>
  <c r="P171" i="3" s="1"/>
  <c r="L71" i="3"/>
  <c r="M71" i="3" s="1"/>
  <c r="AB71" i="3"/>
  <c r="AC71" i="3" s="1"/>
  <c r="AP70" i="3"/>
  <c r="T171" i="3" s="1"/>
  <c r="U171" i="3" s="1"/>
  <c r="V171" i="3" s="1"/>
  <c r="AX70" i="3"/>
  <c r="X171" i="3" s="1"/>
  <c r="AZ71" i="3"/>
  <c r="BA71" i="3" s="1"/>
  <c r="T71" i="3"/>
  <c r="U71" i="3" s="1"/>
  <c r="AR71" i="3"/>
  <c r="AS71" i="3" s="1"/>
  <c r="BF70" i="3"/>
  <c r="AB171" i="3" s="1"/>
  <c r="BH71" i="3"/>
  <c r="BI71" i="3" s="1"/>
  <c r="D71" i="3"/>
  <c r="E71" i="3" s="1"/>
  <c r="E66" i="22" s="1"/>
  <c r="J70" i="3"/>
  <c r="D171" i="3" s="1"/>
  <c r="AS84" i="2"/>
  <c r="AT84" i="2" s="1"/>
  <c r="L84" i="2"/>
  <c r="O84" i="2"/>
  <c r="P84" i="2" s="1"/>
  <c r="BG83" i="2"/>
  <c r="E171" i="10" l="1"/>
  <c r="F171" i="10" s="1"/>
  <c r="AD71" i="12"/>
  <c r="AG171" i="3"/>
  <c r="AH171" i="3" s="1"/>
  <c r="AH71" i="10"/>
  <c r="P172" i="10" s="1"/>
  <c r="Y171" i="3"/>
  <c r="Z171" i="3" s="1"/>
  <c r="M171" i="3"/>
  <c r="N171" i="3" s="1"/>
  <c r="J71" i="10"/>
  <c r="D172" i="10" s="1"/>
  <c r="AE172" i="10"/>
  <c r="Y171" i="12"/>
  <c r="Z171" i="12" s="1"/>
  <c r="N71" i="12"/>
  <c r="F71" i="12"/>
  <c r="BN71" i="12"/>
  <c r="AF172" i="12" s="1"/>
  <c r="BB71" i="12"/>
  <c r="BF71" i="10"/>
  <c r="AB172" i="10" s="1"/>
  <c r="Z71" i="12"/>
  <c r="L172" i="12" s="1"/>
  <c r="AL71" i="10"/>
  <c r="AE172" i="12"/>
  <c r="C172" i="12"/>
  <c r="E172" i="12" s="1"/>
  <c r="C172" i="10"/>
  <c r="E172" i="10" s="1"/>
  <c r="F172" i="10" s="1"/>
  <c r="C172" i="3"/>
  <c r="O172" i="12"/>
  <c r="Q172" i="12" s="1"/>
  <c r="O172" i="10"/>
  <c r="O172" i="3"/>
  <c r="BJ71" i="10"/>
  <c r="Q171" i="3"/>
  <c r="R171" i="3" s="1"/>
  <c r="N71" i="10"/>
  <c r="G172" i="12"/>
  <c r="I172" i="12" s="1"/>
  <c r="G172" i="10"/>
  <c r="I172" i="10" s="1"/>
  <c r="J172" i="10" s="1"/>
  <c r="G172" i="3"/>
  <c r="E171" i="3"/>
  <c r="F171" i="3" s="1"/>
  <c r="I171" i="3"/>
  <c r="J171" i="3" s="1"/>
  <c r="AG172" i="10"/>
  <c r="W172" i="12"/>
  <c r="W172" i="10"/>
  <c r="Y172" i="10" s="1"/>
  <c r="W172" i="3"/>
  <c r="S172" i="12"/>
  <c r="S172" i="10"/>
  <c r="U172" i="10" s="1"/>
  <c r="S172" i="3"/>
  <c r="AP71" i="12"/>
  <c r="T172" i="12" s="1"/>
  <c r="Z71" i="10"/>
  <c r="L172" i="10" s="1"/>
  <c r="AX71" i="12"/>
  <c r="X172" i="12" s="1"/>
  <c r="AT71" i="10"/>
  <c r="AC171" i="3"/>
  <c r="AD171" i="3" s="1"/>
  <c r="I171" i="10"/>
  <c r="J171" i="10" s="1"/>
  <c r="AA172" i="12"/>
  <c r="AC172" i="12" s="1"/>
  <c r="AC105" i="12" s="1"/>
  <c r="AA172" i="10"/>
  <c r="AC172" i="10" s="1"/>
  <c r="AA172" i="3"/>
  <c r="K172" i="12"/>
  <c r="K172" i="10"/>
  <c r="K172" i="3"/>
  <c r="AC171" i="10"/>
  <c r="AD171" i="10" s="1"/>
  <c r="BN71" i="3"/>
  <c r="AF172" i="3" s="1"/>
  <c r="AG172" i="3" s="1"/>
  <c r="AP71" i="3"/>
  <c r="T172" i="3" s="1"/>
  <c r="BB71" i="3"/>
  <c r="AX71" i="3"/>
  <c r="X172" i="3" s="1"/>
  <c r="N71" i="3"/>
  <c r="F71" i="3"/>
  <c r="V71" i="3"/>
  <c r="AD71" i="3"/>
  <c r="BF71" i="3"/>
  <c r="AB172" i="3" s="1"/>
  <c r="AT71" i="3"/>
  <c r="R71" i="3"/>
  <c r="H172" i="3" s="1"/>
  <c r="BJ71" i="3"/>
  <c r="AH71" i="3"/>
  <c r="P172" i="3" s="1"/>
  <c r="Z71" i="3"/>
  <c r="L172" i="3" s="1"/>
  <c r="J71" i="3"/>
  <c r="D172" i="3" s="1"/>
  <c r="AL71" i="3"/>
  <c r="Q172" i="10" l="1"/>
  <c r="M172" i="12"/>
  <c r="AD172" i="10"/>
  <c r="AC105" i="10"/>
  <c r="Z172" i="10"/>
  <c r="Y105" i="10"/>
  <c r="V172" i="10"/>
  <c r="U105" i="10"/>
  <c r="R172" i="10"/>
  <c r="R105" i="10" s="1"/>
  <c r="Q105" i="10"/>
  <c r="AH172" i="3"/>
  <c r="AG105" i="3"/>
  <c r="AH172" i="10"/>
  <c r="AG105" i="10"/>
  <c r="N172" i="12"/>
  <c r="N105" i="12" s="1"/>
  <c r="M105" i="12"/>
  <c r="U172" i="12"/>
  <c r="I172" i="3"/>
  <c r="J172" i="3" s="1"/>
  <c r="AG172" i="12"/>
  <c r="R172" i="12"/>
  <c r="R105" i="12" s="1"/>
  <c r="Q105" i="12"/>
  <c r="J172" i="12"/>
  <c r="J105" i="12" s="1"/>
  <c r="I105" i="12"/>
  <c r="F172" i="12"/>
  <c r="F105" i="12" s="1"/>
  <c r="E105" i="12"/>
  <c r="AC172" i="3"/>
  <c r="AD172" i="3" s="1"/>
  <c r="Y172" i="3"/>
  <c r="Z172" i="3" s="1"/>
  <c r="M172" i="10"/>
  <c r="M172" i="3"/>
  <c r="N172" i="3" s="1"/>
  <c r="U172" i="3"/>
  <c r="V172" i="3" s="1"/>
  <c r="E172" i="3"/>
  <c r="F172" i="3" s="1"/>
  <c r="Y172" i="12"/>
  <c r="Q172" i="3"/>
  <c r="R172" i="3" s="1"/>
  <c r="N172" i="10" l="1"/>
  <c r="M105" i="10"/>
  <c r="V172" i="12"/>
  <c r="V105" i="12" s="1"/>
  <c r="U105" i="12"/>
  <c r="Z172" i="12"/>
  <c r="Z105" i="12" s="1"/>
  <c r="Y105" i="12"/>
  <c r="AH172" i="12"/>
  <c r="AH105" i="12" s="1"/>
  <c r="AG105" i="12"/>
</calcChain>
</file>

<file path=xl/sharedStrings.xml><?xml version="1.0" encoding="utf-8"?>
<sst xmlns="http://schemas.openxmlformats.org/spreadsheetml/2006/main" count="857" uniqueCount="270">
  <si>
    <t>Datos Jane's</t>
  </si>
  <si>
    <t>Resumen del resultado del trabajo de ACTUACIONES</t>
  </si>
  <si>
    <t>2017/18</t>
  </si>
  <si>
    <t xml:space="preserve">Datos: </t>
  </si>
  <si>
    <t>Envergadura:</t>
  </si>
  <si>
    <t>AVION</t>
  </si>
  <si>
    <t>DC-10 series 10</t>
  </si>
  <si>
    <t>Superficie alar:</t>
  </si>
  <si>
    <t>Dimensiones</t>
  </si>
  <si>
    <t>Pesos</t>
  </si>
  <si>
    <t>Alargamiento:</t>
  </si>
  <si>
    <r>
      <rPr>
        <i/>
        <sz val="10"/>
        <rFont val="Times New Roman"/>
      </rPr>
      <t>S</t>
    </r>
    <r>
      <rPr>
        <sz val="10"/>
        <rFont val="Arial"/>
      </rPr>
      <t xml:space="preserve"> [m2]</t>
    </r>
  </si>
  <si>
    <r>
      <rPr>
        <b/>
        <i/>
        <sz val="10"/>
        <rFont val="Times New Roman"/>
      </rPr>
      <t>W</t>
    </r>
    <r>
      <rPr>
        <b/>
        <i/>
        <sz val="10"/>
        <rFont val="Times New Roman"/>
      </rPr>
      <t>TOM</t>
    </r>
    <r>
      <rPr>
        <b/>
        <i/>
        <sz val="10"/>
        <rFont val="Times New Roman"/>
      </rPr>
      <t xml:space="preserve"> </t>
    </r>
    <r>
      <rPr>
        <sz val="10"/>
        <rFont val="Arial"/>
      </rPr>
      <t>[kg]</t>
    </r>
  </si>
  <si>
    <t>Cuerda media geometrica:</t>
  </si>
  <si>
    <r>
      <rPr>
        <i/>
        <sz val="10"/>
        <rFont val="Times New Roman"/>
      </rPr>
      <t>b</t>
    </r>
    <r>
      <rPr>
        <sz val="10"/>
        <rFont val="Arial"/>
      </rPr>
      <t xml:space="preserve"> [m]</t>
    </r>
  </si>
  <si>
    <r>
      <rPr>
        <b/>
        <i/>
        <sz val="10"/>
        <rFont val="Times New Roman"/>
      </rPr>
      <t>W</t>
    </r>
    <r>
      <rPr>
        <b/>
        <i/>
        <sz val="10"/>
        <rFont val="Times New Roman"/>
      </rPr>
      <t>OE</t>
    </r>
    <r>
      <rPr>
        <b/>
        <i/>
        <sz val="10"/>
        <rFont val="Times New Roman"/>
      </rPr>
      <t xml:space="preserve"> </t>
    </r>
    <r>
      <rPr>
        <sz val="10"/>
        <rFont val="Arial"/>
      </rPr>
      <t>[kg]</t>
    </r>
  </si>
  <si>
    <t>Croot:</t>
  </si>
  <si>
    <t>A</t>
  </si>
  <si>
    <r>
      <rPr>
        <b/>
        <i/>
        <sz val="10"/>
        <rFont val="Times New Roman"/>
      </rPr>
      <t>W</t>
    </r>
    <r>
      <rPr>
        <b/>
        <i/>
        <sz val="10"/>
        <rFont val="Times New Roman"/>
      </rPr>
      <t>PL</t>
    </r>
    <r>
      <rPr>
        <b/>
        <i/>
        <sz val="10"/>
        <rFont val="Times New Roman"/>
      </rPr>
      <t xml:space="preserve"> </t>
    </r>
    <r>
      <rPr>
        <sz val="10"/>
        <rFont val="Arial"/>
      </rPr>
      <t>[kg]</t>
    </r>
  </si>
  <si>
    <t>Ctip:</t>
  </si>
  <si>
    <t>λ</t>
  </si>
  <si>
    <r>
      <rPr>
        <b/>
        <i/>
        <sz val="10"/>
        <rFont val="Times New Roman"/>
      </rPr>
      <t>W</t>
    </r>
    <r>
      <rPr>
        <b/>
        <i/>
        <sz val="10"/>
        <rFont val="Times New Roman"/>
      </rPr>
      <t>FM</t>
    </r>
    <r>
      <rPr>
        <b/>
        <i/>
        <sz val="10"/>
        <rFont val="Times New Roman"/>
      </rPr>
      <t xml:space="preserve"> </t>
    </r>
    <r>
      <rPr>
        <sz val="10"/>
        <rFont val="Arial"/>
      </rPr>
      <t>[kg]</t>
    </r>
  </si>
  <si>
    <t>Cmedgeom</t>
  </si>
  <si>
    <t>Long.[m]</t>
  </si>
  <si>
    <t>Diametro fuselaje</t>
  </si>
  <si>
    <t>Empujes</t>
  </si>
  <si>
    <t>Pesos del trabajo</t>
  </si>
  <si>
    <t>Longitud fuselaje</t>
  </si>
  <si>
    <r>
      <rPr>
        <b/>
        <i/>
        <sz val="10"/>
        <rFont val="Times New Roman"/>
      </rPr>
      <t>E</t>
    </r>
    <r>
      <rPr>
        <b/>
        <i/>
        <sz val="10"/>
        <rFont val="Times New Roman"/>
      </rPr>
      <t>máx</t>
    </r>
    <r>
      <rPr>
        <sz val="10"/>
        <rFont val="Arial"/>
      </rPr>
      <t xml:space="preserve"> [N]</t>
    </r>
  </si>
  <si>
    <r>
      <rPr>
        <b/>
        <i/>
        <sz val="10"/>
        <color rgb="FFFF0000"/>
        <rFont val="Times New Roman"/>
      </rPr>
      <t>W</t>
    </r>
    <r>
      <rPr>
        <b/>
        <i/>
        <sz val="10"/>
        <color rgb="FFFF0000"/>
        <rFont val="Times New Roman"/>
      </rPr>
      <t>1</t>
    </r>
    <r>
      <rPr>
        <b/>
        <i/>
        <sz val="10"/>
        <color rgb="FFFF0000"/>
        <rFont val="Times New Roman"/>
      </rPr>
      <t xml:space="preserve"> </t>
    </r>
    <r>
      <rPr>
        <sz val="10"/>
        <color rgb="FFFF0000"/>
        <rFont val="Arial"/>
      </rPr>
      <t>[kg]</t>
    </r>
  </si>
  <si>
    <t>diametro gondolas</t>
  </si>
  <si>
    <r>
      <rPr>
        <b/>
        <i/>
        <sz val="10"/>
        <color rgb="FFFF0000"/>
        <rFont val="Times New Roman"/>
      </rPr>
      <t>E</t>
    </r>
    <r>
      <rPr>
        <b/>
        <i/>
        <sz val="10"/>
        <color rgb="FFFF0000"/>
        <rFont val="Times New Roman"/>
      </rPr>
      <t>85%</t>
    </r>
    <r>
      <rPr>
        <sz val="10"/>
        <color rgb="FFFF0000"/>
        <rFont val="Arial"/>
      </rPr>
      <t xml:space="preserve"> [N]</t>
    </r>
  </si>
  <si>
    <r>
      <rPr>
        <b/>
        <i/>
        <sz val="10"/>
        <color rgb="FFFF0000"/>
        <rFont val="Times New Roman"/>
      </rPr>
      <t>W</t>
    </r>
    <r>
      <rPr>
        <b/>
        <i/>
        <sz val="10"/>
        <color rgb="FFFF0000"/>
        <rFont val="Times New Roman"/>
      </rPr>
      <t>2</t>
    </r>
    <r>
      <rPr>
        <b/>
        <i/>
        <sz val="10"/>
        <color rgb="FFFF0000"/>
        <rFont val="Times New Roman"/>
      </rPr>
      <t xml:space="preserve"> </t>
    </r>
    <r>
      <rPr>
        <sz val="10"/>
        <color rgb="FFFF0000"/>
        <rFont val="Arial"/>
      </rPr>
      <t>[kg]</t>
    </r>
  </si>
  <si>
    <t>longitud gondolas</t>
  </si>
  <si>
    <t>Mach crítico</t>
  </si>
  <si>
    <t>1.1</t>
  </si>
  <si>
    <t>Sh</t>
  </si>
  <si>
    <r>
      <t>C</t>
    </r>
    <r>
      <rPr>
        <b/>
        <i/>
        <sz val="10"/>
        <rFont val="Times New Roman"/>
      </rPr>
      <t>D0</t>
    </r>
  </si>
  <si>
    <t>Sv</t>
  </si>
  <si>
    <t>e</t>
  </si>
  <si>
    <t>TAILPLANE</t>
  </si>
  <si>
    <t>h0=0m</t>
  </si>
  <si>
    <t>h1=1500m</t>
  </si>
  <si>
    <t>h2=3000m</t>
  </si>
  <si>
    <t>h3=4500m</t>
  </si>
  <si>
    <t>h4=6000m</t>
  </si>
  <si>
    <t>h5=7500m</t>
  </si>
  <si>
    <t>h6=9000m</t>
  </si>
  <si>
    <t>h7=10500m</t>
  </si>
  <si>
    <t>(kg/m^3)</t>
  </si>
  <si>
    <t>Tª(K)</t>
  </si>
  <si>
    <t>g(m/s^2)</t>
  </si>
  <si>
    <t>Velocidades</t>
  </si>
  <si>
    <t>Mach(0)</t>
  </si>
  <si>
    <t>Mach(1)</t>
  </si>
  <si>
    <t>Mach(2)</t>
  </si>
  <si>
    <t>Mach(h3)</t>
  </si>
  <si>
    <t>Mach(h4)</t>
  </si>
  <si>
    <t>Mach(h5)</t>
  </si>
  <si>
    <t>Mach(h6)</t>
  </si>
  <si>
    <t>Mach(7)</t>
  </si>
  <si>
    <t>Theta</t>
  </si>
  <si>
    <t>Presion</t>
  </si>
  <si>
    <t>delta</t>
  </si>
  <si>
    <t>H=0</t>
  </si>
  <si>
    <t>Densidad</t>
  </si>
  <si>
    <t>Cd0</t>
  </si>
  <si>
    <t>Rho*V^(2)*S</t>
  </si>
  <si>
    <t>CL</t>
  </si>
  <si>
    <t>Cd0+CL^(2)*K</t>
  </si>
  <si>
    <t>D</t>
  </si>
  <si>
    <t>K</t>
  </si>
  <si>
    <t>Thetha(0)</t>
  </si>
  <si>
    <t>Ttotal</t>
  </si>
  <si>
    <t>Delta0</t>
  </si>
  <si>
    <t>Presiontotal</t>
  </si>
  <si>
    <t>Alfa</t>
  </si>
  <si>
    <t>S</t>
  </si>
  <si>
    <t>H=1500</t>
  </si>
  <si>
    <t>H1=1500</t>
  </si>
  <si>
    <t>H=3000</t>
  </si>
  <si>
    <t>H2=3000</t>
  </si>
  <si>
    <t>H=4500</t>
  </si>
  <si>
    <t>H=6000</t>
  </si>
  <si>
    <t>H=7500</t>
  </si>
  <si>
    <t>H=9000</t>
  </si>
  <si>
    <t>H=10500</t>
  </si>
  <si>
    <t>CALCULO POLAR</t>
  </si>
  <si>
    <t>Componente</t>
  </si>
  <si>
    <t>Cdpi</t>
  </si>
  <si>
    <t>Api</t>
  </si>
  <si>
    <t>Producto</t>
  </si>
  <si>
    <t>Mcritico</t>
  </si>
  <si>
    <t>Flecha</t>
  </si>
  <si>
    <t>Ala</t>
  </si>
  <si>
    <t>Fuselaje</t>
  </si>
  <si>
    <t>Gondolas</t>
  </si>
  <si>
    <t>Sup cola</t>
  </si>
  <si>
    <t>Interferencias</t>
  </si>
  <si>
    <t>Sup total</t>
  </si>
  <si>
    <t>Cd0=</t>
  </si>
  <si>
    <t xml:space="preserve">                                M=0,8</t>
  </si>
  <si>
    <t xml:space="preserve">                          M =0,85</t>
  </si>
  <si>
    <t xml:space="preserve">                       M= 0,90</t>
  </si>
  <si>
    <t xml:space="preserve">                                 M=0,95</t>
  </si>
  <si>
    <t>CDtM085</t>
  </si>
  <si>
    <t>CDTM09</t>
  </si>
  <si>
    <t>CDTM095</t>
  </si>
  <si>
    <t>Vstall</t>
  </si>
  <si>
    <t>h0</t>
  </si>
  <si>
    <t>h1</t>
  </si>
  <si>
    <t>h2</t>
  </si>
  <si>
    <t>h3</t>
  </si>
  <si>
    <t>h4</t>
  </si>
  <si>
    <t>h5</t>
  </si>
  <si>
    <t>h6</t>
  </si>
  <si>
    <t>h7</t>
  </si>
  <si>
    <t>W1</t>
  </si>
  <si>
    <t>W2</t>
  </si>
  <si>
    <t>W3</t>
  </si>
  <si>
    <t>Este es el valor para elegir el dispositivo hipersustentador que en nuestro caso no tiene</t>
  </si>
  <si>
    <t>Empuje disponible</t>
  </si>
  <si>
    <t>Tsea level</t>
  </si>
  <si>
    <t>empuje disponible</t>
  </si>
  <si>
    <t>/\CDrise</t>
  </si>
  <si>
    <t>CDTM08</t>
  </si>
  <si>
    <t>Cdincompresible</t>
  </si>
  <si>
    <t>M-Mc</t>
  </si>
  <si>
    <t>D incompresible</t>
  </si>
  <si>
    <t>Mach</t>
  </si>
  <si>
    <t>Compresibilidad--&gt;</t>
  </si>
  <si>
    <t>D compresible</t>
  </si>
  <si>
    <t>PESO1 W(N)</t>
  </si>
  <si>
    <t>Velocidades y mach ligados a hoja de empuje</t>
  </si>
  <si>
    <t>WFM [kg]</t>
  </si>
  <si>
    <t>WTOM [kg]</t>
  </si>
  <si>
    <t>WPL [kg]</t>
  </si>
  <si>
    <t>C</t>
  </si>
  <si>
    <t>B</t>
  </si>
  <si>
    <t>WOE [kg]</t>
  </si>
  <si>
    <t>Max (h)</t>
  </si>
  <si>
    <t>Smax (s)</t>
  </si>
  <si>
    <t>PESOS (2):</t>
  </si>
  <si>
    <t>T MAX (h)</t>
  </si>
  <si>
    <t>T MAX (s)</t>
  </si>
  <si>
    <t>PESOS:</t>
  </si>
  <si>
    <t>1/SFC:</t>
  </si>
  <si>
    <t>SFC cruise:</t>
  </si>
  <si>
    <t>4.97:1</t>
  </si>
  <si>
    <t>Bypass Ratio BPR:</t>
  </si>
  <si>
    <t>CL/CD:</t>
  </si>
  <si>
    <t xml:space="preserve">Condiciones en techo de vuelo </t>
  </si>
  <si>
    <t>Emp disp</t>
  </si>
  <si>
    <t>Emp disponible</t>
  </si>
  <si>
    <t>Altura(m)</t>
  </si>
  <si>
    <t>v1(m/s)</t>
  </si>
  <si>
    <t>v2(m/s)</t>
  </si>
  <si>
    <t>Velocidad</t>
  </si>
  <si>
    <t>EN</t>
  </si>
  <si>
    <t>ED</t>
  </si>
  <si>
    <t>VS</t>
  </si>
  <si>
    <t>SI((((C108-D108)/B108)*A108*60)&lt;0;0;((C108-D108)/B108)*A108*60)</t>
  </si>
  <si>
    <t>SI((((K108-L108)/B108)*A108*60)&lt;0;0;((K108-L108)/B108)*A108*60)</t>
  </si>
  <si>
    <t>NO1244000</t>
  </si>
  <si>
    <t>NO1057400</t>
  </si>
  <si>
    <t>18144kgf</t>
  </si>
  <si>
    <t>177931,86x3</t>
  </si>
  <si>
    <t>533795,58 N</t>
  </si>
  <si>
    <t>W3 [kg]</t>
  </si>
  <si>
    <t>Tau(%)</t>
  </si>
  <si>
    <t>h=2</t>
  </si>
  <si>
    <t>ang</t>
  </si>
  <si>
    <t>alturas</t>
  </si>
  <si>
    <t>Vsmax</t>
  </si>
  <si>
    <t>R/C</t>
  </si>
  <si>
    <t>Tmín</t>
  </si>
  <si>
    <t xml:space="preserve">                 ht=</t>
  </si>
  <si>
    <t xml:space="preserve">        W2</t>
  </si>
  <si>
    <t>Tmin</t>
  </si>
  <si>
    <t>(CL/CD)max</t>
  </si>
  <si>
    <t>k=</t>
  </si>
  <si>
    <t>CD0=</t>
  </si>
  <si>
    <t>CLopt1</t>
  </si>
  <si>
    <t>CDopt1</t>
  </si>
  <si>
    <t>Vopt1(W1)</t>
  </si>
  <si>
    <t>S=</t>
  </si>
  <si>
    <t>Vopt1(W2)</t>
  </si>
  <si>
    <t>Vopt1(W3)</t>
  </si>
  <si>
    <t>((CL)^0,5/CD)max</t>
  </si>
  <si>
    <t>CLopt3</t>
  </si>
  <si>
    <t>CDopt3</t>
  </si>
  <si>
    <t>Vopt2(W1)</t>
  </si>
  <si>
    <t>Vopt2(W2)</t>
  </si>
  <si>
    <t>Vopt2(W3)</t>
  </si>
  <si>
    <t>g=</t>
  </si>
  <si>
    <t>R(n)</t>
  </si>
  <si>
    <t>w(n)</t>
  </si>
  <si>
    <t>Rmin(W1)</t>
  </si>
  <si>
    <t>T=</t>
  </si>
  <si>
    <t>con n_Rmin=</t>
  </si>
  <si>
    <t>Vrmin(W1)</t>
  </si>
  <si>
    <t>Vstall(nRmin)</t>
  </si>
  <si>
    <t>Clmax=</t>
  </si>
  <si>
    <t>Clmax</t>
  </si>
  <si>
    <t>Rmin(W2)</t>
  </si>
  <si>
    <t>Vrmin(W2)</t>
  </si>
  <si>
    <t xml:space="preserve"> </t>
  </si>
  <si>
    <t>Rmin(W3)</t>
  </si>
  <si>
    <t>Vrmin(W3)</t>
  </si>
  <si>
    <t>wmax(W1)</t>
  </si>
  <si>
    <t>con n_wmax=</t>
  </si>
  <si>
    <t>V_wmax(W1)</t>
  </si>
  <si>
    <t>Vstall(n_wmax)</t>
  </si>
  <si>
    <t>(en km)</t>
  </si>
  <si>
    <t>Rmax</t>
  </si>
  <si>
    <t>(Cl^0,5)/Cd</t>
  </si>
  <si>
    <t>Superficie alar</t>
  </si>
  <si>
    <t>densidad</t>
  </si>
  <si>
    <t>V</t>
  </si>
  <si>
    <t>M</t>
  </si>
  <si>
    <r>
      <t>CD</t>
    </r>
    <r>
      <rPr>
        <vertAlign val="subscript"/>
        <sz val="11"/>
        <color rgb="FF000000"/>
        <rFont val="Calibri"/>
        <family val="2"/>
      </rPr>
      <t>inc</t>
    </r>
  </si>
  <si>
    <t>Dvuelo M&lt;0,4</t>
  </si>
  <si>
    <r>
      <t>X</t>
    </r>
    <r>
      <rPr>
        <vertAlign val="subscript"/>
        <sz val="11"/>
        <color rgb="FF000000"/>
        <rFont val="Calibri"/>
        <family val="2"/>
      </rPr>
      <t>u</t>
    </r>
  </si>
  <si>
    <r>
      <t>X</t>
    </r>
    <r>
      <rPr>
        <vertAlign val="subscript"/>
        <sz val="11"/>
        <color rgb="FF000000"/>
        <rFont val="Calibri"/>
        <family val="2"/>
      </rPr>
      <t>w</t>
    </r>
  </si>
  <si>
    <t>W</t>
  </si>
  <si>
    <t>Rho</t>
  </si>
  <si>
    <t>k</t>
  </si>
  <si>
    <r>
      <t>W</t>
    </r>
    <r>
      <rPr>
        <vertAlign val="subscript"/>
        <sz val="11"/>
        <color rgb="FF000000"/>
        <rFont val="Calibri"/>
        <family val="2"/>
      </rPr>
      <t>TO</t>
    </r>
  </si>
  <si>
    <t>V stall</t>
  </si>
  <si>
    <r>
      <t>μ</t>
    </r>
    <r>
      <rPr>
        <vertAlign val="subscript"/>
        <sz val="12"/>
        <color rgb="FF545454"/>
        <rFont val="Arial"/>
        <family val="2"/>
      </rPr>
      <t>R</t>
    </r>
  </si>
  <si>
    <t>Vref</t>
  </si>
  <si>
    <t>L</t>
  </si>
  <si>
    <t>T(Vref)</t>
  </si>
  <si>
    <t> ρ</t>
  </si>
  <si>
    <t>Cl tip</t>
  </si>
  <si>
    <t>Clmáx</t>
  </si>
  <si>
    <t>CD</t>
  </si>
  <si>
    <t>DESPEGUE</t>
  </si>
  <si>
    <t>RECORRIDO EN TIERRA</t>
  </si>
  <si>
    <t>S(W1)</t>
  </si>
  <si>
    <t>S(W2)</t>
  </si>
  <si>
    <t>S(W3)</t>
  </si>
  <si>
    <t>ATERRIZAJE</t>
  </si>
  <si>
    <r>
      <t>S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>(W1)</t>
    </r>
  </si>
  <si>
    <t>SL(W2)</t>
  </si>
  <si>
    <t>SL(W3)</t>
  </si>
  <si>
    <t>1- LA AERONAVE SOLO DISPONE DE FLAPS TIPO PLAIN QUE AUMENTA EL CL MAS TANTO PARA DESPEGUE COMO PARA ATERRIZAJE</t>
  </si>
  <si>
    <t xml:space="preserve">2-SE HA UTILIZADO </t>
  </si>
  <si>
    <t>μR</t>
  </si>
  <si>
    <t>corespondiente a pista seca cuto valor es de 0,04</t>
  </si>
  <si>
    <t>3-la velocidad de referecnia utilizada se ha calculado como Vref=</t>
  </si>
  <si>
    <t>d como Vref=0,7*1,2*Vstall</t>
  </si>
  <si>
    <t>COMENTARIOS+I30A23:J30A23:JA23:J27</t>
  </si>
  <si>
    <t>d(CD)/dV</t>
  </si>
  <si>
    <t>d(CD)/da</t>
  </si>
  <si>
    <t>Clalfa</t>
  </si>
  <si>
    <t>No se puede realizar el viraje Vrmin&lt;Vstall, Si no se deflectan flaps (no habitual), no se podría realizar</t>
  </si>
  <si>
    <t>V1(M)</t>
  </si>
  <si>
    <t>V2(M)</t>
  </si>
  <si>
    <t>Vstall(M)</t>
  </si>
  <si>
    <t>COMENTARIOS</t>
  </si>
  <si>
    <t xml:space="preserve">las </t>
  </si>
  <si>
    <t xml:space="preserve">el Jane's son 10500m. Nosotros hemos calculadolas  </t>
  </si>
  <si>
    <t xml:space="preserve">1- El techo teorico que viene especificado en en </t>
  </si>
  <si>
    <t xml:space="preserve">En la gráfica 1 podemos observar que el techo de la aeronave(donde vel.de subida es 0)  para los </t>
  </si>
  <si>
    <t>pesos w1, w2, w3 son 9598m, 10265m y 11057m respectivamente.</t>
  </si>
  <si>
    <t>Por tanto, la curvas que representan el tiempo de subida tenderán asintoticamnete a dichas alturas.</t>
  </si>
  <si>
    <t>## Con grafica 1 e refiero a la que esta en el apartado 9</t>
  </si>
  <si>
    <t>del trabajo, maxium lift speed and maxium lift angle</t>
  </si>
  <si>
    <t>velocidades de subida para cada uno de los pesos(w1, w2,w3). Con ellas podemos determinar el techo de la aeronave para cad uno de los pesos del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</si>
</sst>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>
    <font>
      <sz val="11"/>
      <color rgb="FF000000"/>
      <name val="Calibri"/>
    </font>
    <font>
      <b/>
      <sz val="16"/>
      <name val="Times New Roman"/>
    </font>
    <font>
      <b/>
      <sz val="12"/>
      <name val="Arial"/>
    </font>
    <font>
      <b/>
      <sz val="10"/>
      <color rgb="FF0000FF"/>
      <name val="Arial"/>
    </font>
    <font>
      <b/>
      <sz val="10"/>
      <name val="Arial"/>
    </font>
    <font>
      <b/>
      <i/>
      <sz val="10"/>
      <color rgb="FFFF0000"/>
      <name val="Times New Roman"/>
    </font>
    <font>
      <sz val="11"/>
      <name val="Calibri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color rgb="FFED7D31"/>
      <name val="Arial"/>
    </font>
    <font>
      <b/>
      <i/>
      <sz val="10"/>
      <name val="Times New Roman"/>
    </font>
    <font>
      <sz val="10"/>
      <color rgb="FFFF0000"/>
      <name val="Arial"/>
    </font>
    <font>
      <b/>
      <sz val="11"/>
      <color rgb="FFFF0000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Inconsolata"/>
    </font>
    <font>
      <sz val="11"/>
      <color rgb="FFFEF2CB"/>
      <name val="Calibri"/>
    </font>
    <font>
      <sz val="11"/>
      <color rgb="FFFEF2CB"/>
      <name val="Inconsolata"/>
    </font>
    <font>
      <sz val="11"/>
      <color rgb="FFFFFFFF"/>
      <name val="Calibri"/>
    </font>
    <font>
      <i/>
      <sz val="10"/>
      <name val="Times New Roman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bscript"/>
      <sz val="11"/>
      <color rgb="FF000000"/>
      <name val="Calibri"/>
      <family val="2"/>
    </font>
    <font>
      <sz val="12"/>
      <color rgb="FF545454"/>
      <name val="Arial"/>
      <family val="2"/>
    </font>
    <font>
      <vertAlign val="subscript"/>
      <sz val="12"/>
      <color rgb="FF545454"/>
      <name val="Arial"/>
      <family val="2"/>
    </font>
    <font>
      <sz val="11"/>
      <color theme="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2F5496"/>
        <bgColor rgb="FF2F5496"/>
      </patternFill>
    </fill>
    <fill>
      <patternFill patternType="solid">
        <fgColor rgb="FFADB9CA"/>
        <bgColor rgb="FFADB9CA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8496B0"/>
        <bgColor rgb="FF8496B0"/>
      </patternFill>
    </fill>
    <fill>
      <patternFill patternType="solid">
        <fgColor indexed="30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27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medium">
        <color indexed="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medium">
        <color indexed="38"/>
      </top>
      <bottom style="thin">
        <color indexed="28"/>
      </bottom>
      <diagonal/>
    </border>
    <border>
      <left style="medium">
        <color indexed="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medium">
        <color indexed="8"/>
      </left>
      <right style="medium">
        <color indexed="8"/>
      </right>
      <top style="thin">
        <color indexed="28"/>
      </top>
      <bottom style="medium">
        <color indexed="8"/>
      </bottom>
      <diagonal/>
    </border>
    <border>
      <left style="thin">
        <color indexed="28"/>
      </left>
      <right style="medium">
        <color indexed="8"/>
      </right>
      <top style="thin">
        <color indexed="28"/>
      </top>
      <bottom style="thin">
        <color indexed="28"/>
      </bottom>
      <diagonal/>
    </border>
    <border>
      <left style="medium">
        <color indexed="3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medium">
        <color indexed="38"/>
      </left>
      <right style="medium">
        <color indexed="38"/>
      </right>
      <top style="thin">
        <color indexed="38"/>
      </top>
      <bottom style="medium">
        <color indexed="38"/>
      </bottom>
      <diagonal/>
    </border>
    <border>
      <left style="thin">
        <color indexed="28"/>
      </left>
      <right style="medium">
        <color indexed="38"/>
      </right>
      <top style="thin">
        <color indexed="28"/>
      </top>
      <bottom style="thin">
        <color indexed="28"/>
      </bottom>
      <diagonal/>
    </border>
    <border>
      <left style="medium">
        <color indexed="8"/>
      </left>
      <right style="medium">
        <color indexed="8"/>
      </right>
      <top style="thin">
        <color indexed="28"/>
      </top>
      <bottom style="thin">
        <color indexed="28"/>
      </bottom>
      <diagonal/>
    </border>
    <border>
      <left style="medium">
        <color indexed="38"/>
      </left>
      <right style="medium">
        <color indexed="38"/>
      </right>
      <top style="thin">
        <color indexed="38"/>
      </top>
      <bottom style="thin">
        <color indexed="3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28"/>
      </bottom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thin">
        <color indexed="3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medium">
        <color indexed="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medium">
        <color indexed="38"/>
      </bottom>
      <diagonal/>
    </border>
    <border>
      <left style="thin">
        <color indexed="28"/>
      </left>
      <right style="thin">
        <color indexed="28"/>
      </right>
      <top style="thin">
        <color indexed="31"/>
      </top>
      <bottom style="thin">
        <color indexed="28"/>
      </bottom>
      <diagonal/>
    </border>
    <border>
      <left style="thin">
        <color indexed="31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28"/>
      </left>
      <right style="thin">
        <color indexed="31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31"/>
      </bottom>
      <diagonal/>
    </border>
    <border>
      <left style="thin">
        <color indexed="29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4" fillId="0" borderId="21" applyNumberFormat="0" applyFill="0" applyBorder="0" applyProtection="0"/>
    <xf numFmtId="0" fontId="25" fillId="36" borderId="0" applyNumberFormat="0" applyBorder="0" applyAlignment="0" applyProtection="0"/>
    <xf numFmtId="0" fontId="26" fillId="37" borderId="0" applyNumberFormat="0" applyBorder="0" applyAlignment="0" applyProtection="0"/>
  </cellStyleXfs>
  <cellXfs count="1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/>
    <xf numFmtId="0" fontId="0" fillId="0" borderId="0" xfId="0" applyFont="1"/>
    <xf numFmtId="0" fontId="9" fillId="0" borderId="5" xfId="0" applyFont="1" applyBorder="1" applyAlignment="1">
      <alignment horizontal="center"/>
    </xf>
    <xf numFmtId="0" fontId="0" fillId="0" borderId="6" xfId="0" applyFont="1" applyBorder="1"/>
    <xf numFmtId="0" fontId="9" fillId="0" borderId="7" xfId="0" applyFont="1" applyBorder="1" applyAlignment="1">
      <alignment horizontal="center" vertical="center"/>
    </xf>
    <xf numFmtId="0" fontId="10" fillId="0" borderId="8" xfId="0" applyFont="1" applyBorder="1"/>
    <xf numFmtId="0" fontId="9" fillId="0" borderId="7" xfId="0" applyFont="1" applyBorder="1" applyAlignment="1">
      <alignment horizontal="center"/>
    </xf>
    <xf numFmtId="0" fontId="0" fillId="0" borderId="8" xfId="0" applyFont="1" applyBorder="1"/>
    <xf numFmtId="0" fontId="11" fillId="0" borderId="7" xfId="0" applyFont="1" applyBorder="1" applyAlignment="1">
      <alignment horizontal="center" vertical="center"/>
    </xf>
    <xf numFmtId="3" fontId="10" fillId="0" borderId="8" xfId="0" applyNumberFormat="1" applyFont="1" applyBorder="1"/>
    <xf numFmtId="0" fontId="9" fillId="0" borderId="9" xfId="0" applyFont="1" applyBorder="1" applyAlignment="1">
      <alignment horizontal="center" vertical="center"/>
    </xf>
    <xf numFmtId="0" fontId="10" fillId="0" borderId="10" xfId="0" applyFont="1" applyBorder="1"/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0" fillId="0" borderId="10" xfId="0" applyFont="1" applyBorder="1"/>
    <xf numFmtId="0" fontId="12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2" xfId="0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3" fillId="0" borderId="0" xfId="0" applyFont="1"/>
    <xf numFmtId="2" fontId="0" fillId="0" borderId="0" xfId="0" applyNumberFormat="1" applyFont="1"/>
    <xf numFmtId="0" fontId="14" fillId="0" borderId="0" xfId="0" applyFont="1"/>
    <xf numFmtId="4" fontId="14" fillId="0" borderId="0" xfId="0" applyNumberFormat="1" applyFont="1"/>
    <xf numFmtId="0" fontId="15" fillId="2" borderId="20" xfId="0" applyFont="1" applyFill="1" applyBorder="1"/>
    <xf numFmtId="0" fontId="14" fillId="3" borderId="20" xfId="0" applyFont="1" applyFill="1" applyBorder="1"/>
    <xf numFmtId="0" fontId="6" fillId="0" borderId="0" xfId="0" applyFont="1" applyAlignment="1"/>
    <xf numFmtId="0" fontId="14" fillId="4" borderId="20" xfId="0" applyFont="1" applyFill="1" applyBorder="1"/>
    <xf numFmtId="0" fontId="14" fillId="3" borderId="20" xfId="0" applyFont="1" applyFill="1" applyBorder="1" applyAlignment="1"/>
    <xf numFmtId="0" fontId="14" fillId="6" borderId="20" xfId="0" applyFont="1" applyFill="1" applyBorder="1"/>
    <xf numFmtId="0" fontId="16" fillId="5" borderId="0" xfId="0" applyFont="1" applyFill="1"/>
    <xf numFmtId="0" fontId="14" fillId="7" borderId="20" xfId="0" applyFont="1" applyFill="1" applyBorder="1"/>
    <xf numFmtId="0" fontId="16" fillId="7" borderId="21" xfId="0" applyFont="1" applyFill="1" applyBorder="1"/>
    <xf numFmtId="0" fontId="16" fillId="5" borderId="20" xfId="0" applyFont="1" applyFill="1" applyBorder="1"/>
    <xf numFmtId="0" fontId="17" fillId="8" borderId="20" xfId="0" applyFont="1" applyFill="1" applyBorder="1"/>
    <xf numFmtId="0" fontId="18" fillId="8" borderId="21" xfId="0" applyFont="1" applyFill="1" applyBorder="1"/>
    <xf numFmtId="0" fontId="0" fillId="9" borderId="20" xfId="0" applyFont="1" applyFill="1" applyBorder="1"/>
    <xf numFmtId="0" fontId="0" fillId="10" borderId="20" xfId="0" applyFont="1" applyFill="1" applyBorder="1"/>
    <xf numFmtId="0" fontId="0" fillId="11" borderId="20" xfId="0" applyFont="1" applyFill="1" applyBorder="1"/>
    <xf numFmtId="0" fontId="0" fillId="12" borderId="20" xfId="0" applyFont="1" applyFill="1" applyBorder="1"/>
    <xf numFmtId="0" fontId="19" fillId="12" borderId="20" xfId="0" applyFont="1" applyFill="1" applyBorder="1"/>
    <xf numFmtId="0" fontId="0" fillId="13" borderId="20" xfId="0" applyFont="1" applyFill="1" applyBorder="1"/>
    <xf numFmtId="0" fontId="0" fillId="14" borderId="20" xfId="0" applyFont="1" applyFill="1" applyBorder="1"/>
    <xf numFmtId="0" fontId="0" fillId="15" borderId="20" xfId="0" applyFont="1" applyFill="1" applyBorder="1"/>
    <xf numFmtId="0" fontId="0" fillId="16" borderId="20" xfId="0" applyFont="1" applyFill="1" applyBorder="1"/>
    <xf numFmtId="0" fontId="0" fillId="17" borderId="20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1" fillId="0" borderId="0" xfId="0" applyFont="1" applyAlignment="1"/>
    <xf numFmtId="0" fontId="21" fillId="17" borderId="20" xfId="0" applyFont="1" applyFill="1" applyBorder="1"/>
    <xf numFmtId="0" fontId="21" fillId="0" borderId="0" xfId="0" applyFont="1"/>
    <xf numFmtId="0" fontId="22" fillId="0" borderId="0" xfId="0" applyFont="1" applyAlignment="1"/>
    <xf numFmtId="0" fontId="23" fillId="2" borderId="20" xfId="0" applyFont="1" applyFill="1" applyBorder="1" applyAlignment="1"/>
    <xf numFmtId="0" fontId="23" fillId="2" borderId="20" xfId="0" applyFont="1" applyFill="1" applyBorder="1"/>
    <xf numFmtId="2" fontId="14" fillId="3" borderId="20" xfId="0" applyNumberFormat="1" applyFont="1" applyFill="1" applyBorder="1"/>
    <xf numFmtId="2" fontId="14" fillId="3" borderId="20" xfId="0" applyNumberFormat="1" applyFont="1" applyFill="1" applyBorder="1" applyAlignment="1"/>
    <xf numFmtId="0" fontId="24" fillId="0" borderId="21" xfId="1" applyFont="1" applyAlignment="1"/>
    <xf numFmtId="0" fontId="24" fillId="0" borderId="21" xfId="1" applyNumberFormat="1" applyFont="1" applyAlignment="1"/>
    <xf numFmtId="0" fontId="24" fillId="0" borderId="22" xfId="1" applyFont="1" applyBorder="1" applyAlignment="1"/>
    <xf numFmtId="0" fontId="24" fillId="0" borderId="23" xfId="1" applyFont="1" applyBorder="1" applyAlignment="1"/>
    <xf numFmtId="0" fontId="24" fillId="18" borderId="24" xfId="1" applyFont="1" applyFill="1" applyBorder="1" applyAlignment="1"/>
    <xf numFmtId="0" fontId="24" fillId="19" borderId="23" xfId="1" applyNumberFormat="1" applyFont="1" applyFill="1" applyBorder="1" applyAlignment="1"/>
    <xf numFmtId="49" fontId="24" fillId="19" borderId="24" xfId="1" applyNumberFormat="1" applyFont="1" applyFill="1" applyBorder="1" applyAlignment="1"/>
    <xf numFmtId="0" fontId="24" fillId="0" borderId="25" xfId="1" applyFont="1" applyBorder="1" applyAlignment="1"/>
    <xf numFmtId="0" fontId="24" fillId="0" borderId="26" xfId="1" applyFont="1" applyBorder="1" applyAlignment="1"/>
    <xf numFmtId="0" fontId="24" fillId="0" borderId="27" xfId="1" applyFont="1" applyBorder="1" applyAlignment="1"/>
    <xf numFmtId="0" fontId="24" fillId="19" borderId="28" xfId="1" applyNumberFormat="1" applyFont="1" applyFill="1" applyBorder="1" applyAlignment="1"/>
    <xf numFmtId="0" fontId="24" fillId="20" borderId="29" xfId="1" applyNumberFormat="1" applyFont="1" applyFill="1" applyBorder="1" applyAlignment="1"/>
    <xf numFmtId="0" fontId="24" fillId="20" borderId="30" xfId="1" applyNumberFormat="1" applyFont="1" applyFill="1" applyBorder="1" applyAlignment="1"/>
    <xf numFmtId="0" fontId="24" fillId="19" borderId="31" xfId="1" applyNumberFormat="1" applyFont="1" applyFill="1" applyBorder="1" applyAlignment="1"/>
    <xf numFmtId="49" fontId="24" fillId="0" borderId="32" xfId="1" applyNumberFormat="1" applyFont="1" applyBorder="1" applyAlignment="1">
      <alignment horizontal="right"/>
    </xf>
    <xf numFmtId="0" fontId="24" fillId="19" borderId="23" xfId="1" applyFont="1" applyFill="1" applyBorder="1" applyAlignment="1"/>
    <xf numFmtId="0" fontId="24" fillId="19" borderId="24" xfId="1" applyFont="1" applyFill="1" applyBorder="1" applyAlignment="1"/>
    <xf numFmtId="0" fontId="24" fillId="19" borderId="33" xfId="1" applyNumberFormat="1" applyFont="1" applyFill="1" applyBorder="1" applyAlignment="1"/>
    <xf numFmtId="0" fontId="24" fillId="19" borderId="34" xfId="1" applyNumberFormat="1" applyFont="1" applyFill="1" applyBorder="1" applyAlignment="1"/>
    <xf numFmtId="0" fontId="24" fillId="19" borderId="35" xfId="1" applyNumberFormat="1" applyFont="1" applyFill="1" applyBorder="1" applyAlignment="1"/>
    <xf numFmtId="0" fontId="24" fillId="19" borderId="36" xfId="1" applyNumberFormat="1" applyFont="1" applyFill="1" applyBorder="1" applyAlignment="1"/>
    <xf numFmtId="49" fontId="24" fillId="21" borderId="22" xfId="1" applyNumberFormat="1" applyFont="1" applyFill="1" applyBorder="1" applyAlignment="1">
      <alignment horizontal="center"/>
    </xf>
    <xf numFmtId="49" fontId="24" fillId="22" borderId="37" xfId="1" applyNumberFormat="1" applyFont="1" applyFill="1" applyBorder="1" applyAlignment="1"/>
    <xf numFmtId="49" fontId="24" fillId="22" borderId="38" xfId="1" applyNumberFormat="1" applyFont="1" applyFill="1" applyBorder="1" applyAlignment="1"/>
    <xf numFmtId="0" fontId="24" fillId="23" borderId="22" xfId="1" applyNumberFormat="1" applyFont="1" applyFill="1" applyBorder="1" applyAlignment="1"/>
    <xf numFmtId="49" fontId="24" fillId="24" borderId="22" xfId="1" applyNumberFormat="1" applyFont="1" applyFill="1" applyBorder="1" applyAlignment="1">
      <alignment horizontal="center"/>
    </xf>
    <xf numFmtId="49" fontId="24" fillId="24" borderId="39" xfId="1" applyNumberFormat="1" applyFont="1" applyFill="1" applyBorder="1" applyAlignment="1">
      <alignment horizontal="right"/>
    </xf>
    <xf numFmtId="49" fontId="24" fillId="23" borderId="22" xfId="1" applyNumberFormat="1" applyFont="1" applyFill="1" applyBorder="1" applyAlignment="1"/>
    <xf numFmtId="49" fontId="24" fillId="25" borderId="22" xfId="1" applyNumberFormat="1" applyFont="1" applyFill="1" applyBorder="1" applyAlignment="1">
      <alignment horizontal="center"/>
    </xf>
    <xf numFmtId="0" fontId="24" fillId="23" borderId="40" xfId="1" applyNumberFormat="1" applyFont="1" applyFill="1" applyBorder="1" applyAlignment="1"/>
    <xf numFmtId="49" fontId="24" fillId="25" borderId="41" xfId="1" applyNumberFormat="1" applyFont="1" applyFill="1" applyBorder="1" applyAlignment="1">
      <alignment horizontal="right"/>
    </xf>
    <xf numFmtId="0" fontId="24" fillId="0" borderId="42" xfId="1" applyFont="1" applyBorder="1" applyAlignment="1"/>
    <xf numFmtId="0" fontId="24" fillId="26" borderId="23" xfId="1" applyFont="1" applyFill="1" applyBorder="1" applyAlignment="1">
      <alignment horizontal="left"/>
    </xf>
    <xf numFmtId="49" fontId="24" fillId="26" borderId="24" xfId="1" applyNumberFormat="1" applyFont="1" applyFill="1" applyBorder="1" applyAlignment="1">
      <alignment horizontal="left"/>
    </xf>
    <xf numFmtId="0" fontId="24" fillId="0" borderId="43" xfId="1" applyFont="1" applyBorder="1" applyAlignment="1"/>
    <xf numFmtId="0" fontId="24" fillId="0" borderId="44" xfId="1" applyFont="1" applyBorder="1" applyAlignment="1"/>
    <xf numFmtId="0" fontId="24" fillId="0" borderId="45" xfId="1" applyFont="1" applyBorder="1" applyAlignment="1"/>
    <xf numFmtId="0" fontId="24" fillId="18" borderId="46" xfId="1" applyFont="1" applyFill="1" applyBorder="1" applyAlignment="1"/>
    <xf numFmtId="0" fontId="24" fillId="27" borderId="47" xfId="1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28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29" borderId="0" xfId="0" applyFont="1" applyFill="1" applyAlignment="1"/>
    <xf numFmtId="0" fontId="0" fillId="30" borderId="0" xfId="0" applyFont="1" applyFill="1" applyAlignment="1"/>
    <xf numFmtId="0" fontId="0" fillId="0" borderId="0" xfId="0" applyFont="1" applyAlignment="1"/>
    <xf numFmtId="0" fontId="0" fillId="31" borderId="0" xfId="0" applyFont="1" applyFill="1" applyAlignment="1"/>
    <xf numFmtId="0" fontId="0" fillId="32" borderId="0" xfId="0" applyFont="1" applyFill="1" applyAlignment="1"/>
    <xf numFmtId="0" fontId="0" fillId="33" borderId="0" xfId="0" applyFont="1" applyFill="1" applyAlignment="1"/>
    <xf numFmtId="0" fontId="21" fillId="28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3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35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48" xfId="0" applyFont="1" applyBorder="1" applyAlignment="1"/>
    <xf numFmtId="0" fontId="0" fillId="0" borderId="49" xfId="0" applyFont="1" applyBorder="1" applyAlignment="1">
      <alignment horizontal="center"/>
    </xf>
    <xf numFmtId="0" fontId="14" fillId="0" borderId="51" xfId="0" applyFont="1" applyBorder="1"/>
    <xf numFmtId="0" fontId="0" fillId="0" borderId="21" xfId="0" applyFont="1" applyBorder="1" applyAlignment="1"/>
    <xf numFmtId="0" fontId="0" fillId="0" borderId="52" xfId="0" applyFont="1" applyBorder="1" applyAlignment="1"/>
    <xf numFmtId="0" fontId="14" fillId="0" borderId="53" xfId="0" applyFont="1" applyBorder="1"/>
    <xf numFmtId="0" fontId="0" fillId="0" borderId="54" xfId="0" applyFont="1" applyBorder="1" applyAlignment="1"/>
    <xf numFmtId="0" fontId="0" fillId="0" borderId="55" xfId="0" applyFont="1" applyBorder="1" applyAlignment="1"/>
    <xf numFmtId="0" fontId="25" fillId="36" borderId="0" xfId="2" applyAlignment="1"/>
    <xf numFmtId="0" fontId="26" fillId="37" borderId="0" xfId="3" applyAlignment="1"/>
    <xf numFmtId="0" fontId="24" fillId="38" borderId="22" xfId="1" applyFont="1" applyFill="1" applyBorder="1" applyAlignment="1"/>
    <xf numFmtId="0" fontId="24" fillId="28" borderId="22" xfId="1" applyFont="1" applyFill="1" applyBorder="1" applyAlignment="1"/>
    <xf numFmtId="0" fontId="24" fillId="39" borderId="22" xfId="1" applyFont="1" applyFill="1" applyBorder="1" applyAlignment="1"/>
    <xf numFmtId="0" fontId="24" fillId="28" borderId="43" xfId="1" applyFont="1" applyFill="1" applyBorder="1" applyAlignment="1"/>
    <xf numFmtId="0" fontId="24" fillId="39" borderId="43" xfId="1" applyFont="1" applyFill="1" applyBorder="1" applyAlignment="1"/>
    <xf numFmtId="0" fontId="24" fillId="38" borderId="43" xfId="1" applyFont="1" applyFill="1" applyBorder="1" applyAlignment="1"/>
    <xf numFmtId="0" fontId="0" fillId="0" borderId="0" xfId="0" applyFont="1" applyAlignment="1"/>
    <xf numFmtId="0" fontId="21" fillId="40" borderId="0" xfId="0" applyFont="1" applyFill="1" applyAlignment="1"/>
    <xf numFmtId="0" fontId="28" fillId="40" borderId="0" xfId="0" applyFont="1" applyFill="1" applyAlignment="1"/>
    <xf numFmtId="0" fontId="0" fillId="40" borderId="0" xfId="0" applyFont="1" applyFill="1" applyAlignment="1"/>
    <xf numFmtId="0" fontId="21" fillId="29" borderId="0" xfId="0" applyFont="1" applyFill="1" applyAlignment="1"/>
    <xf numFmtId="0" fontId="30" fillId="38" borderId="0" xfId="0" applyFont="1" applyFill="1" applyAlignment="1"/>
    <xf numFmtId="1" fontId="0" fillId="0" borderId="0" xfId="0" applyNumberFormat="1" applyFont="1" applyAlignment="1"/>
    <xf numFmtId="1" fontId="21" fillId="0" borderId="0" xfId="0" applyNumberFormat="1" applyFont="1" applyAlignment="1"/>
    <xf numFmtId="0" fontId="21" fillId="41" borderId="0" xfId="0" applyFont="1" applyFill="1" applyAlignment="1"/>
    <xf numFmtId="0" fontId="0" fillId="41" borderId="0" xfId="0" applyFont="1" applyFill="1" applyAlignment="1"/>
    <xf numFmtId="0" fontId="0" fillId="0" borderId="0" xfId="0" applyFont="1" applyAlignment="1"/>
    <xf numFmtId="0" fontId="0" fillId="28" borderId="0" xfId="0" applyFont="1" applyFill="1" applyAlignment="1">
      <alignment horizontal="center"/>
    </xf>
    <xf numFmtId="0" fontId="21" fillId="28" borderId="0" xfId="0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4" xfId="0" applyFont="1" applyBorder="1"/>
    <xf numFmtId="0" fontId="6" fillId="0" borderId="19" xfId="0" applyFont="1" applyBorder="1"/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</cellXfs>
  <cellStyles count="4">
    <cellStyle name="Bueno" xfId="2" builtinId="26"/>
    <cellStyle name="Incorrecto" xfId="3" builtinId="27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816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1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POLAR!$B$13:$B$25</c:f>
              <c:numCache>
                <c:formatCode>General</c:formatCode>
                <c:ptCount val="1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</c:numCache>
            </c:numRef>
          </c:xVal>
          <c:yVal>
            <c:numRef>
              <c:f>POLAR!$C$13:$C$25</c:f>
              <c:numCache>
                <c:formatCode>General</c:formatCode>
                <c:ptCount val="13"/>
                <c:pt idx="0">
                  <c:v>1.3125589999999999E-2</c:v>
                </c:pt>
                <c:pt idx="1">
                  <c:v>1.4106574609787323E-2</c:v>
                </c:pt>
                <c:pt idx="2">
                  <c:v>1.7049528439149295E-2</c:v>
                </c:pt>
                <c:pt idx="3">
                  <c:v>2.1954451488085912E-2</c:v>
                </c:pt>
                <c:pt idx="4">
                  <c:v>2.8821343756597173E-2</c:v>
                </c:pt>
                <c:pt idx="5">
                  <c:v>3.7650205244683085E-2</c:v>
                </c:pt>
                <c:pt idx="6">
                  <c:v>4.8441035952343642E-2</c:v>
                </c:pt>
                <c:pt idx="7">
                  <c:v>6.1193835879578842E-2</c:v>
                </c:pt>
                <c:pt idx="8">
                  <c:v>7.5908605026388687E-2</c:v>
                </c:pt>
                <c:pt idx="9">
                  <c:v>9.2585343392773189E-2</c:v>
                </c:pt>
                <c:pt idx="10">
                  <c:v>0.11122405097873234</c:v>
                </c:pt>
                <c:pt idx="11">
                  <c:v>0.13182472778426613</c:v>
                </c:pt>
                <c:pt idx="12">
                  <c:v>0.15438737380937456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9-4096-9624-1B8659EAAF15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POLAR!$B$13:$B$25</c:f>
              <c:numCache>
                <c:formatCode>General</c:formatCode>
                <c:ptCount val="1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</c:numCache>
            </c:numRef>
          </c:xVal>
          <c:yVal>
            <c:numRef>
              <c:f>POLAR!$F$13:$F$25</c:f>
              <c:numCache>
                <c:formatCode>General</c:formatCode>
                <c:ptCount val="13"/>
                <c:pt idx="0">
                  <c:v>1.6519838581795312E-2</c:v>
                </c:pt>
                <c:pt idx="1">
                  <c:v>1.7500823191582637E-2</c:v>
                </c:pt>
                <c:pt idx="2">
                  <c:v>2.0443777020944607E-2</c:v>
                </c:pt>
                <c:pt idx="3">
                  <c:v>2.5348700069881224E-2</c:v>
                </c:pt>
                <c:pt idx="4">
                  <c:v>3.2215592338392489E-2</c:v>
                </c:pt>
                <c:pt idx="5">
                  <c:v>4.1044453826478401E-2</c:v>
                </c:pt>
                <c:pt idx="6">
                  <c:v>5.1835284534138958E-2</c:v>
                </c:pt>
                <c:pt idx="7">
                  <c:v>6.4588084461374151E-2</c:v>
                </c:pt>
                <c:pt idx="8">
                  <c:v>7.9302853608183996E-2</c:v>
                </c:pt>
                <c:pt idx="9">
                  <c:v>9.5979591974568498E-2</c:v>
                </c:pt>
                <c:pt idx="10">
                  <c:v>0.11461829956052765</c:v>
                </c:pt>
                <c:pt idx="11">
                  <c:v>0.13521897636606145</c:v>
                </c:pt>
                <c:pt idx="12">
                  <c:v>0.15778162239116988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9-4096-9624-1B8659EAAF15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POLAR!$B$13:$B$25</c:f>
              <c:numCache>
                <c:formatCode>General</c:formatCode>
                <c:ptCount val="1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</c:numCache>
            </c:numRef>
          </c:xVal>
          <c:yVal>
            <c:numRef>
              <c:f>POLAR!$I$13:$I$25</c:f>
              <c:numCache>
                <c:formatCode>General</c:formatCode>
                <c:ptCount val="13"/>
                <c:pt idx="0">
                  <c:v>3.2994573812706124E-2</c:v>
                </c:pt>
                <c:pt idx="1">
                  <c:v>3.3975558422493453E-2</c:v>
                </c:pt>
                <c:pt idx="2">
                  <c:v>3.6918512251855426E-2</c:v>
                </c:pt>
                <c:pt idx="3">
                  <c:v>4.1823435300792036E-2</c:v>
                </c:pt>
                <c:pt idx="4">
                  <c:v>4.8690327569303304E-2</c:v>
                </c:pt>
                <c:pt idx="5">
                  <c:v>5.7519189057389217E-2</c:v>
                </c:pt>
                <c:pt idx="6">
                  <c:v>6.8310019765049773E-2</c:v>
                </c:pt>
                <c:pt idx="7">
                  <c:v>8.1062819692284974E-2</c:v>
                </c:pt>
                <c:pt idx="8">
                  <c:v>9.5777588839094818E-2</c:v>
                </c:pt>
                <c:pt idx="9">
                  <c:v>0.11245432720547932</c:v>
                </c:pt>
                <c:pt idx="10">
                  <c:v>0.13109303479143847</c:v>
                </c:pt>
                <c:pt idx="11">
                  <c:v>0.15169371159697226</c:v>
                </c:pt>
                <c:pt idx="12">
                  <c:v>0.17425635762208069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9-4096-9624-1B8659EAAF15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POLAR!$B$13:$B$25</c:f>
              <c:numCache>
                <c:formatCode>General</c:formatCode>
                <c:ptCount val="1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</c:numCache>
            </c:numRef>
          </c:xVal>
          <c:yVal>
            <c:numRef>
              <c:f>POLAR!$L$13:$L$25</c:f>
              <c:numCache>
                <c:formatCode>General</c:formatCode>
                <c:ptCount val="13"/>
                <c:pt idx="0">
                  <c:v>7.3187513222405923E-2</c:v>
                </c:pt>
                <c:pt idx="1">
                  <c:v>7.4168497832193245E-2</c:v>
                </c:pt>
                <c:pt idx="2">
                  <c:v>7.7111451661555225E-2</c:v>
                </c:pt>
                <c:pt idx="3">
                  <c:v>8.2016374710491835E-2</c:v>
                </c:pt>
                <c:pt idx="4">
                  <c:v>8.8883266979003089E-2</c:v>
                </c:pt>
                <c:pt idx="5">
                  <c:v>9.7712128467089016E-2</c:v>
                </c:pt>
                <c:pt idx="6">
                  <c:v>0.10850295917474956</c:v>
                </c:pt>
                <c:pt idx="7">
                  <c:v>0.12125575910198477</c:v>
                </c:pt>
                <c:pt idx="8">
                  <c:v>0.1359705282487946</c:v>
                </c:pt>
                <c:pt idx="9">
                  <c:v>0.15264726661517911</c:v>
                </c:pt>
                <c:pt idx="10">
                  <c:v>0.17128597420113825</c:v>
                </c:pt>
                <c:pt idx="11">
                  <c:v>0.19188665100667204</c:v>
                </c:pt>
                <c:pt idx="12">
                  <c:v>0.21444929703178048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E9-4096-9624-1B8659EA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37568"/>
        <c:axId val="2042342464"/>
      </c:scatterChart>
      <c:valAx>
        <c:axId val="204233756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s-ES"/>
                  <a:t>CL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s-ES"/>
          </a:p>
        </c:txPr>
        <c:crossAx val="2042342464"/>
        <c:crosses val="autoZero"/>
        <c:crossBetween val="midCat"/>
      </c:valAx>
      <c:valAx>
        <c:axId val="20423424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s-ES"/>
                  <a:t>CD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s-ES"/>
          </a:p>
        </c:txPr>
        <c:crossAx val="204233756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'ENecesario(W3)'!$E$108:$E$172</c:f>
              <c:numCache>
                <c:formatCode>General</c:formatCode>
                <c:ptCount val="65"/>
                <c:pt idx="0">
                  <c:v>-14.873372996385834</c:v>
                </c:pt>
                <c:pt idx="1">
                  <c:v>-9.516324408464758</c:v>
                </c:pt>
                <c:pt idx="2">
                  <c:v>-5.5584597294512434</c:v>
                </c:pt>
                <c:pt idx="3">
                  <c:v>-2.4144677347849108</c:v>
                </c:pt>
                <c:pt idx="4">
                  <c:v>0.20844372379110995</c:v>
                </c:pt>
                <c:pt idx="5">
                  <c:v>2.4729061488535846</c:v>
                </c:pt>
                <c:pt idx="6">
                  <c:v>4.4763732640640894</c:v>
                </c:pt>
                <c:pt idx="7">
                  <c:v>6.2806805798248986</c:v>
                </c:pt>
                <c:pt idx="8">
                  <c:v>7.9268381488250972</c:v>
                </c:pt>
                <c:pt idx="9">
                  <c:v>9.4430039703767328</c:v>
                </c:pt>
                <c:pt idx="10">
                  <c:v>10.849045438163484</c:v>
                </c:pt>
                <c:pt idx="11">
                  <c:v>12.159279674084328</c:v>
                </c:pt>
                <c:pt idx="12">
                  <c:v>13.38418858397765</c:v>
                </c:pt>
                <c:pt idx="13">
                  <c:v>14.531530207872009</c:v>
                </c:pt>
                <c:pt idx="14">
                  <c:v>15.607080725673143</c:v>
                </c:pt>
                <c:pt idx="15">
                  <c:v>16.615142899559864</c:v>
                </c:pt>
                <c:pt idx="16">
                  <c:v>17.55890248680932</c:v>
                </c:pt>
                <c:pt idx="17">
                  <c:v>18.44068314007302</c:v>
                </c:pt>
                <c:pt idx="18">
                  <c:v>19.262131972362674</c:v>
                </c:pt>
                <c:pt idx="19">
                  <c:v>20.024356792904857</c:v>
                </c:pt>
                <c:pt idx="20">
                  <c:v>20.728029032819766</c:v>
                </c:pt>
                <c:pt idx="21">
                  <c:v>21.373461904129659</c:v>
                </c:pt>
                <c:pt idx="22">
                  <c:v>21.960670406784434</c:v>
                </c:pt>
                <c:pt idx="23">
                  <c:v>22.489417844013328</c:v>
                </c:pt>
                <c:pt idx="24">
                  <c:v>22.959252178795236</c:v>
                </c:pt>
                <c:pt idx="25">
                  <c:v>23.369534647729203</c:v>
                </c:pt>
                <c:pt idx="26">
                  <c:v>23.719462406298053</c:v>
                </c:pt>
                <c:pt idx="27">
                  <c:v>24.008086523143326</c:v>
                </c:pt>
                <c:pt idx="28">
                  <c:v>24.23432631252885</c:v>
                </c:pt>
                <c:pt idx="29">
                  <c:v>24.396980754971416</c:v>
                </c:pt>
                <c:pt idx="30">
                  <c:v>24.494737579879441</c:v>
                </c:pt>
                <c:pt idx="31">
                  <c:v>24.526180452988221</c:v>
                </c:pt>
                <c:pt idx="32">
                  <c:v>24.489794612925724</c:v>
                </c:pt>
                <c:pt idx="33">
                  <c:v>24.383971226602316</c:v>
                </c:pt>
                <c:pt idx="34">
                  <c:v>24.207010676042437</c:v>
                </c:pt>
                <c:pt idx="35">
                  <c:v>23.957124945279443</c:v>
                </c:pt>
                <c:pt idx="36">
                  <c:v>23.632439241757403</c:v>
                </c:pt>
                <c:pt idx="37">
                  <c:v>23.230992959940561</c:v>
                </c:pt>
                <c:pt idx="38">
                  <c:v>22.750740073758436</c:v>
                </c:pt>
                <c:pt idx="39">
                  <c:v>22.189549027799991</c:v>
                </c:pt>
                <c:pt idx="40">
                  <c:v>21.545202183827453</c:v>
                </c:pt>
                <c:pt idx="41">
                  <c:v>20.815394868462366</c:v>
                </c:pt>
                <c:pt idx="42">
                  <c:v>19.997734059236997</c:v>
                </c:pt>
                <c:pt idx="43">
                  <c:v>19.089736739165129</c:v>
                </c:pt>
                <c:pt idx="44">
                  <c:v>18.08882794423414</c:v>
                </c:pt>
                <c:pt idx="45">
                  <c:v>16.992338523490552</c:v>
                </c:pt>
                <c:pt idx="46">
                  <c:v>15.797502627483494</c:v>
                </c:pt>
                <c:pt idx="47">
                  <c:v>14.501454937581316</c:v>
                </c:pt>
                <c:pt idx="48">
                  <c:v>13.10122764596237</c:v>
                </c:pt>
                <c:pt idx="49">
                  <c:v>11.593747193798393</c:v>
                </c:pt>
                <c:pt idx="50">
                  <c:v>9.9758307732208937</c:v>
                </c:pt>
                <c:pt idx="51">
                  <c:v>8.2141788496333312</c:v>
                </c:pt>
                <c:pt idx="52">
                  <c:v>5.3664872510782313</c:v>
                </c:pt>
                <c:pt idx="53">
                  <c:v>-0.16390966727481562</c:v>
                </c:pt>
                <c:pt idx="54">
                  <c:v>-9.853639447013224</c:v>
                </c:pt>
                <c:pt idx="55">
                  <c:v>-25.247852716856134</c:v>
                </c:pt>
                <c:pt idx="56">
                  <c:v>-48.015703497983282</c:v>
                </c:pt>
                <c:pt idx="57">
                  <c:v>-79.977019071243475</c:v>
                </c:pt>
                <c:pt idx="58">
                  <c:v>-123.12019915587041</c:v>
                </c:pt>
                <c:pt idx="59">
                  <c:v>-179.61650115786748</c:v>
                </c:pt>
                <c:pt idx="60">
                  <c:v>-251.83260487184236</c:v>
                </c:pt>
                <c:pt idx="61">
                  <c:v>-342.34229458204516</c:v>
                </c:pt>
                <c:pt idx="62">
                  <c:v>-453.93767696027146</c:v>
                </c:pt>
                <c:pt idx="63">
                  <c:v>-589.64016232002041</c:v>
                </c:pt>
                <c:pt idx="64">
                  <c:v>-752.71134116497615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9-4774-A5BD-0605B01799EC}"/>
            </c:ext>
          </c:extLst>
        </c:ser>
        <c:ser>
          <c:idx val="1"/>
          <c:order val="1"/>
          <c:tx>
            <c:v>h=1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'ENecesario(W3)'!$I$109:$I$172</c:f>
              <c:numCache>
                <c:formatCode>General</c:formatCode>
                <c:ptCount val="64"/>
                <c:pt idx="0">
                  <c:v>-13.21527271759925</c:v>
                </c:pt>
                <c:pt idx="1">
                  <c:v>-9.0247428603904787</c:v>
                </c:pt>
                <c:pt idx="2">
                  <c:v>-5.7613573754185303</c:v>
                </c:pt>
                <c:pt idx="3">
                  <c:v>-3.0858980443912558</c:v>
                </c:pt>
                <c:pt idx="4">
                  <c:v>-0.80968894556878401</c:v>
                </c:pt>
                <c:pt idx="5">
                  <c:v>1.1805911959856521</c:v>
                </c:pt>
                <c:pt idx="6">
                  <c:v>2.9571049000224496</c:v>
                </c:pt>
                <c:pt idx="7">
                  <c:v>4.5679658976584996</c:v>
                </c:pt>
                <c:pt idx="8">
                  <c:v>6.0464599653835638</c:v>
                </c:pt>
                <c:pt idx="9">
                  <c:v>7.4163192432074565</c:v>
                </c:pt>
                <c:pt idx="10">
                  <c:v>8.6948905398418912</c:v>
                </c:pt>
                <c:pt idx="11">
                  <c:v>9.8951182292303095</c:v>
                </c:pt>
                <c:pt idx="12">
                  <c:v>11.026829329262132</c:v>
                </c:pt>
                <c:pt idx="13">
                  <c:v>12.097591779056131</c:v>
                </c:pt>
                <c:pt idx="14">
                  <c:v>13.113302904772322</c:v>
                </c:pt>
                <c:pt idx="15">
                  <c:v>14.078602325020439</c:v>
                </c:pt>
                <c:pt idx="16">
                  <c:v>14.99716768077392</c:v>
                </c:pt>
                <c:pt idx="17">
                  <c:v>15.871930371092491</c:v>
                </c:pt>
                <c:pt idx="18">
                  <c:v>16.705235562784686</c:v>
                </c:pt>
                <c:pt idx="19">
                  <c:v>17.498962666900148</c:v>
                </c:pt>
                <c:pt idx="20">
                  <c:v>18.254617303660119</c:v>
                </c:pt>
                <c:pt idx="21">
                  <c:v>18.973402393999901</c:v>
                </c:pt>
                <c:pt idx="22">
                  <c:v>19.656273758687444</c:v>
                </c:pt>
                <c:pt idx="23">
                  <c:v>20.263876340206455</c:v>
                </c:pt>
                <c:pt idx="24">
                  <c:v>20.706340212790522</c:v>
                </c:pt>
                <c:pt idx="25">
                  <c:v>21.096418179228831</c:v>
                </c:pt>
                <c:pt idx="26">
                  <c:v>21.43356770614319</c:v>
                </c:pt>
                <c:pt idx="27">
                  <c:v>21.717108974712609</c:v>
                </c:pt>
                <c:pt idx="28">
                  <c:v>21.946238423017409</c:v>
                </c:pt>
                <c:pt idx="29">
                  <c:v>22.120039627683472</c:v>
                </c:pt>
                <c:pt idx="30">
                  <c:v>22.237492034644333</c:v>
                </c:pt>
                <c:pt idx="31">
                  <c:v>22.297477935480643</c:v>
                </c:pt>
                <c:pt idx="32">
                  <c:v>22.298787999896</c:v>
                </c:pt>
                <c:pt idx="33">
                  <c:v>22.240125609233441</c:v>
                </c:pt>
                <c:pt idx="34">
                  <c:v>22.120110185351741</c:v>
                </c:pt>
                <c:pt idx="35">
                  <c:v>21.937279669906605</c:v>
                </c:pt>
                <c:pt idx="36">
                  <c:v>21.690092278367892</c:v>
                </c:pt>
                <c:pt idx="37">
                  <c:v>21.37692762891869</c:v>
                </c:pt>
                <c:pt idx="38">
                  <c:v>20.99608732721045</c:v>
                </c:pt>
                <c:pt idx="39">
                  <c:v>20.545795072655952</c:v>
                </c:pt>
                <c:pt idx="40">
                  <c:v>20.024196339669217</c:v>
                </c:pt>
                <c:pt idx="41">
                  <c:v>19.429357677352286</c:v>
                </c:pt>
                <c:pt idx="42">
                  <c:v>18.759265663086353</c:v>
                </c:pt>
                <c:pt idx="43">
                  <c:v>18.011825538915371</c:v>
                </c:pt>
                <c:pt idx="44">
                  <c:v>17.184859554219965</c:v>
                </c:pt>
                <c:pt idx="45">
                  <c:v>16.276105033730285</c:v>
                </c:pt>
                <c:pt idx="46">
                  <c:v>15.283212186233872</c:v>
                </c:pt>
                <c:pt idx="47">
                  <c:v>14.20374166625531</c:v>
                </c:pt>
                <c:pt idx="48">
                  <c:v>13.035161898402867</c:v>
                </c:pt>
                <c:pt idx="49">
                  <c:v>11.759975578296475</c:v>
                </c:pt>
                <c:pt idx="50">
                  <c:v>9.6492885492963101</c:v>
                </c:pt>
                <c:pt idx="51">
                  <c:v>5.3229854750435193</c:v>
                </c:pt>
                <c:pt idx="52">
                  <c:v>-2.4946657722284149</c:v>
                </c:pt>
                <c:pt idx="53">
                  <c:v>-15.136696378442448</c:v>
                </c:pt>
                <c:pt idx="54">
                  <c:v>-34.044671148375805</c:v>
                </c:pt>
                <c:pt idx="55">
                  <c:v>-60.792656037542251</c:v>
                </c:pt>
                <c:pt idx="56">
                  <c:v>-97.103177470826694</c:v>
                </c:pt>
                <c:pt idx="57">
                  <c:v>-144.85993592955083</c:v>
                </c:pt>
                <c:pt idx="58">
                  <c:v>-206.11899179048925</c:v>
                </c:pt>
                <c:pt idx="59">
                  <c:v>-283.11917539306921</c:v>
                </c:pt>
                <c:pt idx="60">
                  <c:v>-378.29209386523672</c:v>
                </c:pt>
                <c:pt idx="61">
                  <c:v>-494.27193609481367</c:v>
                </c:pt>
                <c:pt idx="62">
                  <c:v>-633.90519203093174</c:v>
                </c:pt>
                <c:pt idx="63">
                  <c:v>-800.26035679254539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9-4774-A5BD-0605B01799EC}"/>
            </c:ext>
          </c:extLst>
        </c:ser>
        <c:ser>
          <c:idx val="2"/>
          <c:order val="2"/>
          <c:tx>
            <c:v>h=2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'ENecesario(W3)'!$M$108:$M$172</c:f>
              <c:numCache>
                <c:formatCode>General</c:formatCode>
                <c:ptCount val="65"/>
                <c:pt idx="0">
                  <c:v>-23.677832884840974</c:v>
                </c:pt>
                <c:pt idx="1">
                  <c:v>-17.292257352132864</c:v>
                </c:pt>
                <c:pt idx="2">
                  <c:v>-12.764948128035858</c:v>
                </c:pt>
                <c:pt idx="3">
                  <c:v>-9.3080061575442201</c:v>
                </c:pt>
                <c:pt idx="4">
                  <c:v>-6.5271567507288442</c:v>
                </c:pt>
                <c:pt idx="5">
                  <c:v>-4.2031795278213497</c:v>
                </c:pt>
                <c:pt idx="6">
                  <c:v>-2.2044513178009604</c:v>
                </c:pt>
                <c:pt idx="7">
                  <c:v>-0.44717641655771395</c:v>
                </c:pt>
                <c:pt idx="8">
                  <c:v>1.1245083756329353</c:v>
                </c:pt>
                <c:pt idx="9">
                  <c:v>2.5492529597775362</c:v>
                </c:pt>
                <c:pt idx="10">
                  <c:v>3.8546236318458149</c:v>
                </c:pt>
                <c:pt idx="11">
                  <c:v>5.0607840271185163</c:v>
                </c:pt>
                <c:pt idx="12">
                  <c:v>6.182797992044776</c:v>
                </c:pt>
                <c:pt idx="13">
                  <c:v>7.232121390174953</c:v>
                </c:pt>
                <c:pt idx="14">
                  <c:v>8.2175979569011606</c:v>
                </c:pt>
                <c:pt idx="15">
                  <c:v>9.146141709701114</c:v>
                </c:pt>
                <c:pt idx="16">
                  <c:v>10.02321546576081</c:v>
                </c:pt>
                <c:pt idx="17">
                  <c:v>10.853173317514338</c:v>
                </c:pt>
                <c:pt idx="18">
                  <c:v>11.639510266589262</c:v>
                </c:pt>
                <c:pt idx="19">
                  <c:v>12.385047206713594</c:v>
                </c:pt>
                <c:pt idx="20">
                  <c:v>13.092070061153485</c:v>
                </c:pt>
                <c:pt idx="21">
                  <c:v>13.762435871237269</c:v>
                </c:pt>
                <c:pt idx="22">
                  <c:v>14.397654701696274</c:v>
                </c:pt>
                <c:pt idx="23">
                  <c:v>14.998953606671929</c:v>
                </c:pt>
                <c:pt idx="24">
                  <c:v>15.567327120132092</c:v>
                </c:pt>
                <c:pt idx="25">
                  <c:v>16.103577506060546</c:v>
                </c:pt>
                <c:pt idx="26">
                  <c:v>16.608347143380001</c:v>
                </c:pt>
                <c:pt idx="27">
                  <c:v>17.082144809548435</c:v>
                </c:pt>
                <c:pt idx="28">
                  <c:v>17.525367187286069</c:v>
                </c:pt>
                <c:pt idx="29">
                  <c:v>17.938316599020581</c:v>
                </c:pt>
                <c:pt idx="30">
                  <c:v>18.321215738249947</c:v>
                </c:pt>
                <c:pt idx="31">
                  <c:v>18.674219992010762</c:v>
                </c:pt>
                <c:pt idx="32">
                  <c:v>18.997427817261102</c:v>
                </c:pt>
                <c:pt idx="33">
                  <c:v>19.290889534466608</c:v>
                </c:pt>
                <c:pt idx="34">
                  <c:v>19.554614825651424</c:v>
                </c:pt>
                <c:pt idx="35">
                  <c:v>19.788579165626256</c:v>
                </c:pt>
                <c:pt idx="36">
                  <c:v>19.78182520630228</c:v>
                </c:pt>
                <c:pt idx="37">
                  <c:v>19.65647643624466</c:v>
                </c:pt>
                <c:pt idx="38">
                  <c:v>19.476044639222774</c:v>
                </c:pt>
                <c:pt idx="39">
                  <c:v>19.239211141709085</c:v>
                </c:pt>
                <c:pt idx="40">
                  <c:v>18.944585888185451</c:v>
                </c:pt>
                <c:pt idx="41">
                  <c:v>18.590707766444105</c:v>
                </c:pt>
                <c:pt idx="42">
                  <c:v>18.176044523522691</c:v>
                </c:pt>
                <c:pt idx="43">
                  <c:v>17.698992314058177</c:v>
                </c:pt>
                <c:pt idx="44">
                  <c:v>17.157874915284879</c:v>
                </c:pt>
                <c:pt idx="45">
                  <c:v>16.550942636704875</c:v>
                </c:pt>
                <c:pt idx="46">
                  <c:v>15.876370947349917</c:v>
                </c:pt>
                <c:pt idx="47">
                  <c:v>15.132258839322001</c:v>
                </c:pt>
                <c:pt idx="48">
                  <c:v>14.316626942774615</c:v>
                </c:pt>
                <c:pt idx="49">
                  <c:v>13.41977176738474</c:v>
                </c:pt>
                <c:pt idx="50">
                  <c:v>11.871518188662966</c:v>
                </c:pt>
                <c:pt idx="51">
                  <c:v>8.4885994007419932</c:v>
                </c:pt>
                <c:pt idx="52">
                  <c:v>2.1742810317392807</c:v>
                </c:pt>
                <c:pt idx="53">
                  <c:v>-8.2168302019207768</c:v>
                </c:pt>
                <c:pt idx="54">
                  <c:v>-23.925155927791778</c:v>
                </c:pt>
                <c:pt idx="55">
                  <c:v>-46.30740064884624</c:v>
                </c:pt>
                <c:pt idx="56">
                  <c:v>-76.850647976204101</c:v>
                </c:pt>
                <c:pt idx="57">
                  <c:v>-117.18359527549613</c:v>
                </c:pt>
                <c:pt idx="58">
                  <c:v>-169.0864549011003</c:v>
                </c:pt>
                <c:pt idx="59">
                  <c:v>-234.50018501939701</c:v>
                </c:pt>
                <c:pt idx="60">
                  <c:v>-315.53537638926736</c:v>
                </c:pt>
                <c:pt idx="61">
                  <c:v>-414.48097065494881</c:v>
                </c:pt>
                <c:pt idx="62">
                  <c:v>-533.81291101280908</c:v>
                </c:pt>
                <c:pt idx="63">
                  <c:v>-676.2027862102683</c:v>
                </c:pt>
                <c:pt idx="64">
                  <c:v>-844.52650621155999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E9-4774-A5BD-0605B01799EC}"/>
            </c:ext>
          </c:extLst>
        </c:ser>
        <c:ser>
          <c:idx val="3"/>
          <c:order val="3"/>
          <c:tx>
            <c:v>h=3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'ENecesario(W3)'!$Q$108:$Q$172</c:f>
              <c:numCache>
                <c:formatCode>General</c:formatCode>
                <c:ptCount val="65"/>
                <c:pt idx="0">
                  <c:v>-29.043363157203217</c:v>
                </c:pt>
                <c:pt idx="1">
                  <c:v>-21.878311560432461</c:v>
                </c:pt>
                <c:pt idx="2">
                  <c:v>-16.879815531207974</c:v>
                </c:pt>
                <c:pt idx="3">
                  <c:v>-13.126444659643836</c:v>
                </c:pt>
                <c:pt idx="4">
                  <c:v>-10.157219526959478</c:v>
                </c:pt>
                <c:pt idx="5">
                  <c:v>-7.7158973922098797</c:v>
                </c:pt>
                <c:pt idx="6">
                  <c:v>-5.6486622483819016</c:v>
                </c:pt>
                <c:pt idx="7">
                  <c:v>-3.857606538367675</c:v>
                </c:pt>
                <c:pt idx="8">
                  <c:v>-2.2774635941887715</c:v>
                </c:pt>
                <c:pt idx="9">
                  <c:v>-0.86307349432225799</c:v>
                </c:pt>
                <c:pt idx="10">
                  <c:v>0.41778300999071494</c:v>
                </c:pt>
                <c:pt idx="11">
                  <c:v>1.5886867575009214</c:v>
                </c:pt>
                <c:pt idx="12">
                  <c:v>2.6672710036770657</c:v>
                </c:pt>
                <c:pt idx="13">
                  <c:v>3.6669639812530632</c:v>
                </c:pt>
                <c:pt idx="14">
                  <c:v>4.5981517147617135</c:v>
                </c:pt>
                <c:pt idx="15">
                  <c:v>5.4689745026598153</c:v>
                </c:pt>
                <c:pt idx="16">
                  <c:v>6.285885155068935</c:v>
                </c:pt>
                <c:pt idx="17">
                  <c:v>7.0540483069709268</c:v>
                </c:pt>
                <c:pt idx="18">
                  <c:v>7.7776313021832122</c:v>
                </c:pt>
                <c:pt idx="19">
                  <c:v>8.4600195934578046</c:v>
                </c:pt>
                <c:pt idx="20">
                  <c:v>9.1039786321630896</c:v>
                </c:pt>
                <c:pt idx="21">
                  <c:v>9.7117771968165272</c:v>
                </c:pt>
                <c:pt idx="22">
                  <c:v>10.285282515451511</c:v>
                </c:pt>
                <c:pt idx="23">
                  <c:v>10.826034472834987</c:v>
                </c:pt>
                <c:pt idx="24">
                  <c:v>11.335304113620804</c:v>
                </c:pt>
                <c:pt idx="25">
                  <c:v>11.814140217489273</c:v>
                </c:pt>
                <c:pt idx="26">
                  <c:v>12.263406717347548</c:v>
                </c:pt>
                <c:pt idx="27">
                  <c:v>12.683813018116167</c:v>
                </c:pt>
                <c:pt idx="28">
                  <c:v>13.075938760500293</c:v>
                </c:pt>
                <c:pt idx="29">
                  <c:v>13.440254200757426</c:v>
                </c:pt>
                <c:pt idx="30">
                  <c:v>13.777137102763852</c:v>
                </c:pt>
                <c:pt idx="31">
                  <c:v>14.086886834486375</c:v>
                </c:pt>
                <c:pt idx="32">
                  <c:v>14.369736207716807</c:v>
                </c:pt>
                <c:pt idx="33">
                  <c:v>14.625861483873267</c:v>
                </c:pt>
                <c:pt idx="34">
                  <c:v>14.855390880038673</c:v>
                </c:pt>
                <c:pt idx="35">
                  <c:v>15.058411841172255</c:v>
                </c:pt>
                <c:pt idx="36">
                  <c:v>15.234977291503387</c:v>
                </c:pt>
                <c:pt idx="37">
                  <c:v>15.385111036770432</c:v>
                </c:pt>
                <c:pt idx="38">
                  <c:v>15.508812456449402</c:v>
                </c:pt>
                <c:pt idx="39">
                  <c:v>15.606060599378232</c:v>
                </c:pt>
                <c:pt idx="40">
                  <c:v>15.676817775686194</c:v>
                </c:pt>
                <c:pt idx="41">
                  <c:v>15.721032721519755</c:v>
                </c:pt>
                <c:pt idx="42">
                  <c:v>15.738643399835329</c:v>
                </c:pt>
                <c:pt idx="43">
                  <c:v>15.729579489822999</c:v>
                </c:pt>
                <c:pt idx="44">
                  <c:v>15.693764608815503</c:v>
                </c:pt>
                <c:pt idx="45">
                  <c:v>15.287472289439309</c:v>
                </c:pt>
                <c:pt idx="46">
                  <c:v>14.803570118061018</c:v>
                </c:pt>
                <c:pt idx="47">
                  <c:v>14.262502066051173</c:v>
                </c:pt>
                <c:pt idx="48">
                  <c:v>13.65833001865937</c:v>
                </c:pt>
                <c:pt idx="49">
                  <c:v>12.536239592880856</c:v>
                </c:pt>
                <c:pt idx="50">
                  <c:v>9.8889930643420367</c:v>
                </c:pt>
                <c:pt idx="51">
                  <c:v>4.7789119399117199</c:v>
                </c:pt>
                <c:pt idx="52">
                  <c:v>-3.7739416196378599</c:v>
                </c:pt>
                <c:pt idx="53">
                  <c:v>-16.83275650347796</c:v>
                </c:pt>
                <c:pt idx="54">
                  <c:v>-35.562548814578648</c:v>
                </c:pt>
                <c:pt idx="55">
                  <c:v>-61.242487785509397</c:v>
                </c:pt>
                <c:pt idx="56">
                  <c:v>-95.275749334276412</c:v>
                </c:pt>
                <c:pt idx="57">
                  <c:v>-139.19822750047624</c:v>
                </c:pt>
                <c:pt idx="58">
                  <c:v>-194.68667722423547</c:v>
                </c:pt>
                <c:pt idx="59">
                  <c:v>-263.56656943918688</c:v>
                </c:pt>
                <c:pt idx="60">
                  <c:v>-347.8198090449211</c:v>
                </c:pt>
                <c:pt idx="61">
                  <c:v>-449.59240198065982</c:v>
                </c:pt>
                <c:pt idx="62">
                  <c:v>-571.20212335374595</c:v>
                </c:pt>
                <c:pt idx="63">
                  <c:v>-715.14621919899344</c:v>
                </c:pt>
                <c:pt idx="64">
                  <c:v>-884.10916294459514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E9-4774-A5BD-0605B01799EC}"/>
            </c:ext>
          </c:extLst>
        </c:ser>
        <c:ser>
          <c:idx val="4"/>
          <c:order val="4"/>
          <c:tx>
            <c:v>h=4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'ENecesario(W3)'!$Q$108:$Q$172</c:f>
              <c:numCache>
                <c:formatCode>General</c:formatCode>
                <c:ptCount val="65"/>
                <c:pt idx="0">
                  <c:v>-29.043363157203217</c:v>
                </c:pt>
                <c:pt idx="1">
                  <c:v>-21.878311560432461</c:v>
                </c:pt>
                <c:pt idx="2">
                  <c:v>-16.879815531207974</c:v>
                </c:pt>
                <c:pt idx="3">
                  <c:v>-13.126444659643836</c:v>
                </c:pt>
                <c:pt idx="4">
                  <c:v>-10.157219526959478</c:v>
                </c:pt>
                <c:pt idx="5">
                  <c:v>-7.7158973922098797</c:v>
                </c:pt>
                <c:pt idx="6">
                  <c:v>-5.6486622483819016</c:v>
                </c:pt>
                <c:pt idx="7">
                  <c:v>-3.857606538367675</c:v>
                </c:pt>
                <c:pt idx="8">
                  <c:v>-2.2774635941887715</c:v>
                </c:pt>
                <c:pt idx="9">
                  <c:v>-0.86307349432225799</c:v>
                </c:pt>
                <c:pt idx="10">
                  <c:v>0.41778300999071494</c:v>
                </c:pt>
                <c:pt idx="11">
                  <c:v>1.5886867575009214</c:v>
                </c:pt>
                <c:pt idx="12">
                  <c:v>2.6672710036770657</c:v>
                </c:pt>
                <c:pt idx="13">
                  <c:v>3.6669639812530632</c:v>
                </c:pt>
                <c:pt idx="14">
                  <c:v>4.5981517147617135</c:v>
                </c:pt>
                <c:pt idx="15">
                  <c:v>5.4689745026598153</c:v>
                </c:pt>
                <c:pt idx="16">
                  <c:v>6.285885155068935</c:v>
                </c:pt>
                <c:pt idx="17">
                  <c:v>7.0540483069709268</c:v>
                </c:pt>
                <c:pt idx="18">
                  <c:v>7.7776313021832122</c:v>
                </c:pt>
                <c:pt idx="19">
                  <c:v>8.4600195934578046</c:v>
                </c:pt>
                <c:pt idx="20">
                  <c:v>9.1039786321630896</c:v>
                </c:pt>
                <c:pt idx="21">
                  <c:v>9.7117771968165272</c:v>
                </c:pt>
                <c:pt idx="22">
                  <c:v>10.285282515451511</c:v>
                </c:pt>
                <c:pt idx="23">
                  <c:v>10.826034472834987</c:v>
                </c:pt>
                <c:pt idx="24">
                  <c:v>11.335304113620804</c:v>
                </c:pt>
                <c:pt idx="25">
                  <c:v>11.814140217489273</c:v>
                </c:pt>
                <c:pt idx="26">
                  <c:v>12.263406717347548</c:v>
                </c:pt>
                <c:pt idx="27">
                  <c:v>12.683813018116167</c:v>
                </c:pt>
                <c:pt idx="28">
                  <c:v>13.075938760500293</c:v>
                </c:pt>
                <c:pt idx="29">
                  <c:v>13.440254200757426</c:v>
                </c:pt>
                <c:pt idx="30">
                  <c:v>13.777137102763852</c:v>
                </c:pt>
                <c:pt idx="31">
                  <c:v>14.086886834486375</c:v>
                </c:pt>
                <c:pt idx="32">
                  <c:v>14.369736207716807</c:v>
                </c:pt>
                <c:pt idx="33">
                  <c:v>14.625861483873267</c:v>
                </c:pt>
                <c:pt idx="34">
                  <c:v>14.855390880038673</c:v>
                </c:pt>
                <c:pt idx="35">
                  <c:v>15.058411841172255</c:v>
                </c:pt>
                <c:pt idx="36">
                  <c:v>15.234977291503387</c:v>
                </c:pt>
                <c:pt idx="37">
                  <c:v>15.385111036770432</c:v>
                </c:pt>
                <c:pt idx="38">
                  <c:v>15.508812456449402</c:v>
                </c:pt>
                <c:pt idx="39">
                  <c:v>15.606060599378232</c:v>
                </c:pt>
                <c:pt idx="40">
                  <c:v>15.676817775686194</c:v>
                </c:pt>
                <c:pt idx="41">
                  <c:v>15.721032721519755</c:v>
                </c:pt>
                <c:pt idx="42">
                  <c:v>15.738643399835329</c:v>
                </c:pt>
                <c:pt idx="43">
                  <c:v>15.729579489822999</c:v>
                </c:pt>
                <c:pt idx="44">
                  <c:v>15.693764608815503</c:v>
                </c:pt>
                <c:pt idx="45">
                  <c:v>15.287472289439309</c:v>
                </c:pt>
                <c:pt idx="46">
                  <c:v>14.803570118061018</c:v>
                </c:pt>
                <c:pt idx="47">
                  <c:v>14.262502066051173</c:v>
                </c:pt>
                <c:pt idx="48">
                  <c:v>13.65833001865937</c:v>
                </c:pt>
                <c:pt idx="49">
                  <c:v>12.536239592880856</c:v>
                </c:pt>
                <c:pt idx="50">
                  <c:v>9.8889930643420367</c:v>
                </c:pt>
                <c:pt idx="51">
                  <c:v>4.7789119399117199</c:v>
                </c:pt>
                <c:pt idx="52">
                  <c:v>-3.7739416196378599</c:v>
                </c:pt>
                <c:pt idx="53">
                  <c:v>-16.83275650347796</c:v>
                </c:pt>
                <c:pt idx="54">
                  <c:v>-35.562548814578648</c:v>
                </c:pt>
                <c:pt idx="55">
                  <c:v>-61.242487785509397</c:v>
                </c:pt>
                <c:pt idx="56">
                  <c:v>-95.275749334276412</c:v>
                </c:pt>
                <c:pt idx="57">
                  <c:v>-139.19822750047624</c:v>
                </c:pt>
                <c:pt idx="58">
                  <c:v>-194.68667722423547</c:v>
                </c:pt>
                <c:pt idx="59">
                  <c:v>-263.56656943918688</c:v>
                </c:pt>
                <c:pt idx="60">
                  <c:v>-347.8198090449211</c:v>
                </c:pt>
                <c:pt idx="61">
                  <c:v>-449.59240198065982</c:v>
                </c:pt>
                <c:pt idx="62">
                  <c:v>-571.20212335374595</c:v>
                </c:pt>
                <c:pt idx="63">
                  <c:v>-715.14621919899344</c:v>
                </c:pt>
                <c:pt idx="64">
                  <c:v>-884.10916294459514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E9-4774-A5BD-0605B01799EC}"/>
            </c:ext>
          </c:extLst>
        </c:ser>
        <c:ser>
          <c:idx val="5"/>
          <c:order val="5"/>
          <c:tx>
            <c:v>h=5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'ENecesario(W3)'!$U$108:$U$172</c:f>
              <c:numCache>
                <c:formatCode>General</c:formatCode>
                <c:ptCount val="65"/>
                <c:pt idx="0">
                  <c:v>-35.331957905212249</c:v>
                </c:pt>
                <c:pt idx="1">
                  <c:v>-27.158939782270323</c:v>
                </c:pt>
                <c:pt idx="2">
                  <c:v>-21.529624652806856</c:v>
                </c:pt>
                <c:pt idx="3">
                  <c:v>-17.359732916450383</c:v>
                </c:pt>
                <c:pt idx="4">
                  <c:v>-14.106912083093237</c:v>
                </c:pt>
                <c:pt idx="5">
                  <c:v>-11.469742122784476</c:v>
                </c:pt>
                <c:pt idx="6">
                  <c:v>-9.2673175745562002</c:v>
                </c:pt>
                <c:pt idx="7">
                  <c:v>-7.3845007476297768</c:v>
                </c:pt>
                <c:pt idx="8">
                  <c:v>-5.7445413462785275</c:v>
                </c:pt>
                <c:pt idx="9">
                  <c:v>-4.2943286649898695</c:v>
                </c:pt>
                <c:pt idx="10">
                  <c:v>-2.995961193064367</c:v>
                </c:pt>
                <c:pt idx="11">
                  <c:v>-1.8216861996498628</c:v>
                </c:pt>
                <c:pt idx="12">
                  <c:v>-0.7507353815542448</c:v>
                </c:pt>
                <c:pt idx="13">
                  <c:v>0.23272385769179177</c:v>
                </c:pt>
                <c:pt idx="14">
                  <c:v>1.1409551470328434</c:v>
                </c:pt>
                <c:pt idx="15">
                  <c:v>1.983589015059837</c:v>
                </c:pt>
                <c:pt idx="16">
                  <c:v>2.7682785839520894</c:v>
                </c:pt>
                <c:pt idx="17">
                  <c:v>3.5011684024726466</c:v>
                </c:pt>
                <c:pt idx="18">
                  <c:v>4.1872358143399104</c:v>
                </c:pt>
                <c:pt idx="19">
                  <c:v>4.8305436099783412</c:v>
                </c:pt>
                <c:pt idx="20">
                  <c:v>5.4344298018479602</c:v>
                </c:pt>
                <c:pt idx="21">
                  <c:v>6.0016521007518016</c:v>
                </c:pt>
                <c:pt idx="22">
                  <c:v>6.5344992666413395</c:v>
                </c:pt>
                <c:pt idx="23">
                  <c:v>7.0348779039347384</c:v>
                </c:pt>
                <c:pt idx="24">
                  <c:v>7.5043808254558755</c:v>
                </c:pt>
                <c:pt idx="25">
                  <c:v>7.9443414217719619</c:v>
                </c:pt>
                <c:pt idx="26">
                  <c:v>8.3558772912039085</c:v>
                </c:pt>
                <c:pt idx="27">
                  <c:v>8.7399255470125841</c:v>
                </c:pt>
                <c:pt idx="28">
                  <c:v>9.0972716151802366</c:v>
                </c:pt>
                <c:pt idx="29">
                  <c:v>9.4285728974300103</c:v>
                </c:pt>
                <c:pt idx="30">
                  <c:v>9.7343783513638478</c:v>
                </c:pt>
                <c:pt idx="31">
                  <c:v>10.015144799726858</c:v>
                </c:pt>
                <c:pt idx="32">
                  <c:v>10.271250600818268</c:v>
                </c:pt>
                <c:pt idx="33">
                  <c:v>10.503007175792916</c:v>
                </c:pt>
                <c:pt idx="34">
                  <c:v>10.710668784541859</c:v>
                </c:pt>
                <c:pt idx="35">
                  <c:v>10.894440861752324</c:v>
                </c:pt>
                <c:pt idx="36">
                  <c:v>11.054487162640946</c:v>
                </c:pt>
                <c:pt idx="37">
                  <c:v>11.19093591934894</c:v>
                </c:pt>
                <c:pt idx="38">
                  <c:v>11.303885170850917</c:v>
                </c:pt>
                <c:pt idx="39">
                  <c:v>11.393407399049865</c:v>
                </c:pt>
                <c:pt idx="40">
                  <c:v>11.459553579707622</c:v>
                </c:pt>
                <c:pt idx="41">
                  <c:v>11.502356737622442</c:v>
                </c:pt>
                <c:pt idx="42">
                  <c:v>11.521835079978938</c:v>
                </c:pt>
                <c:pt idx="43">
                  <c:v>11.517994769261115</c:v>
                </c:pt>
                <c:pt idx="44">
                  <c:v>11.490832386923245</c:v>
                </c:pt>
                <c:pt idx="45">
                  <c:v>11.44033713068216</c:v>
                </c:pt>
                <c:pt idx="46">
                  <c:v>11.366492781450793</c:v>
                </c:pt>
                <c:pt idx="47">
                  <c:v>11.266280058708849</c:v>
                </c:pt>
                <c:pt idx="48">
                  <c:v>10.768357442377852</c:v>
                </c:pt>
                <c:pt idx="49">
                  <c:v>9.02203272142361</c:v>
                </c:pt>
                <c:pt idx="50">
                  <c:v>5.2317616745106008</c:v>
                </c:pt>
                <c:pt idx="51">
                  <c:v>-1.4356138092340005</c:v>
                </c:pt>
                <c:pt idx="52">
                  <c:v>-12.098703338420743</c:v>
                </c:pt>
                <c:pt idx="53">
                  <c:v>-27.774339035028817</c:v>
                </c:pt>
                <c:pt idx="54">
                  <c:v>-49.355835569438817</c:v>
                </c:pt>
                <c:pt idx="55">
                  <c:v>-78.047487662643121</c:v>
                </c:pt>
                <c:pt idx="56">
                  <c:v>-115.16939929514814</c:v>
                </c:pt>
                <c:pt idx="57">
                  <c:v>-162.16462775559535</c:v>
                </c:pt>
                <c:pt idx="58">
                  <c:v>-220.60609254824078</c:v>
                </c:pt>
                <c:pt idx="59">
                  <c:v>-292.20337604690286</c:v>
                </c:pt>
                <c:pt idx="60">
                  <c:v>-378.80948838948063</c:v>
                </c:pt>
                <c:pt idx="61">
                  <c:v>-482.42764019370975</c:v>
                </c:pt>
                <c:pt idx="62">
                  <c:v>-605.21805035311638</c:v>
                </c:pt>
                <c:pt idx="63">
                  <c:v>-749.50480650062514</c:v>
                </c:pt>
                <c:pt idx="64">
                  <c:v>-917.78278976256365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9-4774-A5BD-0605B01799EC}"/>
            </c:ext>
          </c:extLst>
        </c:ser>
        <c:ser>
          <c:idx val="6"/>
          <c:order val="6"/>
          <c:tx>
            <c:v>h=6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'ENecesario(W3)'!$Y$108:$Y$172</c:f>
              <c:numCache>
                <c:formatCode>General</c:formatCode>
                <c:ptCount val="65"/>
                <c:pt idx="0">
                  <c:v>-42.833968230213713</c:v>
                </c:pt>
                <c:pt idx="1">
                  <c:v>-33.371635563006492</c:v>
                </c:pt>
                <c:pt idx="2">
                  <c:v>-26.917507502171986</c:v>
                </c:pt>
                <c:pt idx="3">
                  <c:v>-22.187190039831602</c:v>
                </c:pt>
                <c:pt idx="4">
                  <c:v>-18.538316711493717</c:v>
                </c:pt>
                <c:pt idx="5">
                  <c:v>-15.613929026537091</c:v>
                </c:pt>
                <c:pt idx="6">
                  <c:v>-13.199812195949695</c:v>
                </c:pt>
                <c:pt idx="7">
                  <c:v>-11.159638373753404</c:v>
                </c:pt>
                <c:pt idx="8">
                  <c:v>-9.4025325397528494</c:v>
                </c:pt>
                <c:pt idx="9">
                  <c:v>-7.8656042475429944</c:v>
                </c:pt>
                <c:pt idx="10">
                  <c:v>-6.5039632276681507</c:v>
                </c:pt>
                <c:pt idx="11">
                  <c:v>-5.2847269510529049</c:v>
                </c:pt>
                <c:pt idx="12">
                  <c:v>-4.1832740386757266</c:v>
                </c:pt>
                <c:pt idx="13">
                  <c:v>-3.1808190039601247</c:v>
                </c:pt>
                <c:pt idx="14">
                  <c:v>-2.2627946465434845</c:v>
                </c:pt>
                <c:pt idx="15">
                  <c:v>-1.4177446623632366</c:v>
                </c:pt>
                <c:pt idx="16">
                  <c:v>-0.63654798195552775</c:v>
                </c:pt>
                <c:pt idx="17">
                  <c:v>8.813567419097651E-2</c:v>
                </c:pt>
                <c:pt idx="18">
                  <c:v>0.76226936147333879</c:v>
                </c:pt>
                <c:pt idx="19">
                  <c:v>1.3907374802384453</c:v>
                </c:pt>
                <c:pt idx="20">
                  <c:v>1.9775699428372082</c:v>
                </c:pt>
                <c:pt idx="21">
                  <c:v>2.5261127480964913</c:v>
                </c:pt>
                <c:pt idx="22">
                  <c:v>3.0391593734818318</c:v>
                </c:pt>
                <c:pt idx="23">
                  <c:v>3.5190531283650746</c:v>
                </c:pt>
                <c:pt idx="24">
                  <c:v>3.9677677158909148</c:v>
                </c:pt>
                <c:pt idx="25">
                  <c:v>4.3869712533405947</c:v>
                </c:pt>
                <c:pt idx="26">
                  <c:v>4.7780776022664666</c:v>
                </c:pt>
                <c:pt idx="27">
                  <c:v>5.1422878668658836</c:v>
                </c:pt>
                <c:pt idx="28">
                  <c:v>5.4806242053035072</c:v>
                </c:pt>
                <c:pt idx="29">
                  <c:v>5.7939575794542053</c:v>
                </c:pt>
                <c:pt idx="30">
                  <c:v>6.0830306866364188</c:v>
                </c:pt>
                <c:pt idx="31">
                  <c:v>6.3484770331201812</c:v>
                </c:pt>
                <c:pt idx="32">
                  <c:v>6.5908368962845882</c:v>
                </c:pt>
                <c:pt idx="33">
                  <c:v>6.8105707611221078</c:v>
                </c:pt>
                <c:pt idx="34">
                  <c:v>7.0080706937372934</c:v>
                </c:pt>
                <c:pt idx="35">
                  <c:v>7.1836700197958034</c:v>
                </c:pt>
                <c:pt idx="36">
                  <c:v>7.3376516024617828</c:v>
                </c:pt>
                <c:pt idx="37">
                  <c:v>7.4702549570333767</c:v>
                </c:pt>
                <c:pt idx="38">
                  <c:v>7.5816823944203362</c:v>
                </c:pt>
                <c:pt idx="39">
                  <c:v>7.6721043499554167</c:v>
                </c:pt>
                <c:pt idx="40">
                  <c:v>7.741664025654388</c:v>
                </c:pt>
                <c:pt idx="41">
                  <c:v>7.7904814513247871</c:v>
                </c:pt>
                <c:pt idx="42">
                  <c:v>7.8186570516400682</c:v>
                </c:pt>
                <c:pt idx="43">
                  <c:v>7.8262747915028594</c:v>
                </c:pt>
                <c:pt idx="44">
                  <c:v>7.8134049599921065</c:v>
                </c:pt>
                <c:pt idx="45">
                  <c:v>7.7801066433608774</c:v>
                </c:pt>
                <c:pt idx="46">
                  <c:v>7.723774396303372</c:v>
                </c:pt>
                <c:pt idx="47">
                  <c:v>7.3305307257131096</c:v>
                </c:pt>
                <c:pt idx="48">
                  <c:v>5.8850465323888788</c:v>
                </c:pt>
                <c:pt idx="49">
                  <c:v>2.7154555247848182</c:v>
                </c:pt>
                <c:pt idx="50">
                  <c:v>-2.8845006961491202</c:v>
                </c:pt>
                <c:pt idx="51">
                  <c:v>-11.684987538703764</c:v>
                </c:pt>
                <c:pt idx="52">
                  <c:v>-24.533604480627844</c:v>
                </c:pt>
                <c:pt idx="53">
                  <c:v>-42.364509224537763</c:v>
                </c:pt>
                <c:pt idx="54">
                  <c:v>-66.20581752148999</c:v>
                </c:pt>
                <c:pt idx="55">
                  <c:v>-97.186216554135015</c:v>
                </c:pt>
                <c:pt idx="56">
                  <c:v>-136.54119447485519</c:v>
                </c:pt>
                <c:pt idx="57">
                  <c:v>-185.6190826138039</c:v>
                </c:pt>
                <c:pt idx="58">
                  <c:v>-245.88701528700949</c:v>
                </c:pt>
                <c:pt idx="59">
                  <c:v>-319.38923915041102</c:v>
                </c:pt>
                <c:pt idx="60">
                  <c:v>-407.45318946167174</c:v>
                </c:pt>
                <c:pt idx="61">
                  <c:v>-511.91789605798607</c:v>
                </c:pt>
                <c:pt idx="62">
                  <c:v>-634.78724690466299</c:v>
                </c:pt>
                <c:pt idx="63">
                  <c:v>-778.21403295584139</c:v>
                </c:pt>
                <c:pt idx="64">
                  <c:v>-944.5061146246677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E9-4774-A5BD-0605B01799EC}"/>
            </c:ext>
          </c:extLst>
        </c:ser>
        <c:ser>
          <c:idx val="7"/>
          <c:order val="7"/>
          <c:tx>
            <c:v>h=7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'ENecesario(W3)'!$AC$108:$AC$172</c:f>
              <c:numCache>
                <c:formatCode>General</c:formatCode>
                <c:ptCount val="65"/>
                <c:pt idx="0">
                  <c:v>-51.930322299773977</c:v>
                </c:pt>
                <c:pt idx="1">
                  <c:v>-40.825906797307795</c:v>
                </c:pt>
                <c:pt idx="2">
                  <c:v>-33.30615906762408</c:v>
                </c:pt>
                <c:pt idx="3">
                  <c:v>-27.83874045765236</c:v>
                </c:pt>
                <c:pt idx="4">
                  <c:v>-23.657348151544415</c:v>
                </c:pt>
                <c:pt idx="5">
                  <c:v>-20.336190545078633</c:v>
                </c:pt>
                <c:pt idx="6">
                  <c:v>-17.619764004026415</c:v>
                </c:pt>
                <c:pt idx="7">
                  <c:v>-15.345471031931286</c:v>
                </c:pt>
                <c:pt idx="8">
                  <c:v>-13.404924671320515</c:v>
                </c:pt>
                <c:pt idx="9">
                  <c:v>-11.72310936625431</c:v>
                </c:pt>
                <c:pt idx="10">
                  <c:v>-10.246470806384872</c:v>
                </c:pt>
                <c:pt idx="11">
                  <c:v>-8.9357683593329025</c:v>
                </c:pt>
                <c:pt idx="12">
                  <c:v>-7.761606759293926</c:v>
                </c:pt>
                <c:pt idx="13">
                  <c:v>-6.7015440298263504</c:v>
                </c:pt>
                <c:pt idx="14">
                  <c:v>-5.7381627997565161</c:v>
                </c:pt>
                <c:pt idx="15">
                  <c:v>-4.8577501764268485</c:v>
                </c:pt>
                <c:pt idx="16">
                  <c:v>-4.0493732527773556</c:v>
                </c:pt>
                <c:pt idx="17">
                  <c:v>-3.3042184233794027</c:v>
                </c:pt>
                <c:pt idx="18">
                  <c:v>-2.6151106102931925</c:v>
                </c:pt>
                <c:pt idx="19">
                  <c:v>-1.9761576743714304</c:v>
                </c:pt>
                <c:pt idx="20">
                  <c:v>-1.3824835235908683</c:v>
                </c:pt>
                <c:pt idx="21">
                  <c:v>-0.8300251022161883</c:v>
                </c:pt>
                <c:pt idx="22">
                  <c:v>-0.31537607729402029</c:v>
                </c:pt>
                <c:pt idx="23">
                  <c:v>0.1643348719463964</c:v>
                </c:pt>
                <c:pt idx="24">
                  <c:v>0.61153980245605855</c:v>
                </c:pt>
                <c:pt idx="25">
                  <c:v>1.0283075519293268</c:v>
                </c:pt>
                <c:pt idx="26">
                  <c:v>1.4164046701904514</c:v>
                </c:pt>
                <c:pt idx="27">
                  <c:v>1.7773446442248584</c:v>
                </c:pt>
                <c:pt idx="28">
                  <c:v>2.1124279726729833</c:v>
                </c:pt>
                <c:pt idx="29">
                  <c:v>2.4227750265771477</c:v>
                </c:pt>
                <c:pt idx="30">
                  <c:v>2.709353177915538</c:v>
                </c:pt>
                <c:pt idx="31">
                  <c:v>2.9729993391945944</c:v>
                </c:pt>
                <c:pt idx="32">
                  <c:v>3.2144388036167681</c:v>
                </c:pt>
                <c:pt idx="33">
                  <c:v>3.4343010832634278</c:v>
                </c:pt>
                <c:pt idx="34">
                  <c:v>3.6331332961096803</c:v>
                </c:pt>
                <c:pt idx="35">
                  <c:v>3.8114115398689572</c:v>
                </c:pt>
                <c:pt idx="36">
                  <c:v>3.9695506032046932</c:v>
                </c:pt>
                <c:pt idx="37">
                  <c:v>4.1079122965625272</c:v>
                </c:pt>
                <c:pt idx="38">
                  <c:v>4.2268126312057337</c:v>
                </c:pt>
                <c:pt idx="39">
                  <c:v>4.3265280325842062</c:v>
                </c:pt>
                <c:pt idx="40">
                  <c:v>4.407300740383425</c:v>
                </c:pt>
                <c:pt idx="41">
                  <c:v>4.4693435205621261</c:v>
                </c:pt>
                <c:pt idx="42">
                  <c:v>4.5128437929283294</c:v>
                </c:pt>
                <c:pt idx="43">
                  <c:v>4.5379672602019232</c:v>
                </c:pt>
                <c:pt idx="44">
                  <c:v>4.5448611102031062</c:v>
                </c:pt>
                <c:pt idx="45">
                  <c:v>4.5306358607514472</c:v>
                </c:pt>
                <c:pt idx="46">
                  <c:v>4.2213134390229863</c:v>
                </c:pt>
                <c:pt idx="47">
                  <c:v>3.019275468870263</c:v>
                </c:pt>
                <c:pt idx="48">
                  <c:v>0.36088279472259488</c:v>
                </c:pt>
                <c:pt idx="49">
                  <c:v>-4.3495273662272806</c:v>
                </c:pt>
                <c:pt idx="50">
                  <c:v>-11.763602061738554</c:v>
                </c:pt>
                <c:pt idx="51">
                  <c:v>-22.600232615971446</c:v>
                </c:pt>
                <c:pt idx="52">
                  <c:v>-37.653277235849906</c:v>
                </c:pt>
                <c:pt idx="53">
                  <c:v>-57.797897059528026</c:v>
                </c:pt>
                <c:pt idx="54">
                  <c:v>-83.996262634004282</c:v>
                </c:pt>
                <c:pt idx="55">
                  <c:v>-117.30295656859884</c:v>
                </c:pt>
                <c:pt idx="56">
                  <c:v>-158.87023155541488</c:v>
                </c:pt>
                <c:pt idx="57">
                  <c:v>-209.95320878779509</c:v>
                </c:pt>
                <c:pt idx="58">
                  <c:v>-271.91506527762863</c:v>
                </c:pt>
                <c:pt idx="59">
                  <c:v>-346.23223915445874</c:v>
                </c:pt>
                <c:pt idx="60">
                  <c:v>-434.49967107236387</c:v>
                </c:pt>
                <c:pt idx="61">
                  <c:v>-538.43609336274176</c:v>
                </c:pt>
                <c:pt idx="62">
                  <c:v>-659.88937457392558</c:v>
                </c:pt>
                <c:pt idx="63">
                  <c:v>-800.8419244928225</c:v>
                </c:pt>
                <c:pt idx="64">
                  <c:v>-963.43065584985129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E9-4774-A5BD-0605B01799EC}"/>
            </c:ext>
          </c:extLst>
        </c:ser>
        <c:ser>
          <c:idx val="8"/>
          <c:order val="8"/>
          <c:tx>
            <c:v>h=8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'ENecesario(W3)'!$AG$108:$AG$172</c:f>
              <c:numCache>
                <c:formatCode>General</c:formatCode>
                <c:ptCount val="65"/>
                <c:pt idx="0">
                  <c:v>-63.128490605361534</c:v>
                </c:pt>
                <c:pt idx="1">
                  <c:v>-49.93207037233794</c:v>
                </c:pt>
                <c:pt idx="2">
                  <c:v>-41.041855447886995</c:v>
                </c:pt>
                <c:pt idx="3">
                  <c:v>-34.615523534411935</c:v>
                </c:pt>
                <c:pt idx="4">
                  <c:v>-29.731809653669909</c:v>
                </c:pt>
                <c:pt idx="5">
                  <c:v>-25.878848693044819</c:v>
                </c:pt>
                <c:pt idx="6">
                  <c:v>-22.749501614061312</c:v>
                </c:pt>
                <c:pt idx="7">
                  <c:v>-20.148315743737225</c:v>
                </c:pt>
                <c:pt idx="8">
                  <c:v>-17.945001131377506</c:v>
                </c:pt>
                <c:pt idx="9">
                  <c:v>-16.049376888128904</c:v>
                </c:pt>
                <c:pt idx="10">
                  <c:v>-14.397053123658088</c:v>
                </c:pt>
                <c:pt idx="11">
                  <c:v>-12.940838909842981</c:v>
                </c:pt>
                <c:pt idx="12">
                  <c:v>-11.645371377197723</c:v>
                </c:pt>
                <c:pt idx="13">
                  <c:v>-10.483639757785584</c:v>
                </c:pt>
                <c:pt idx="14">
                  <c:v>-9.4346675633127202</c:v>
                </c:pt>
                <c:pt idx="15">
                  <c:v>-8.4819262967635893</c:v>
                </c:pt>
                <c:pt idx="16">
                  <c:v>-7.6122247187971377</c:v>
                </c:pt>
                <c:pt idx="17">
                  <c:v>-6.8149151936620243</c:v>
                </c:pt>
                <c:pt idx="18">
                  <c:v>-6.0813162582099967</c:v>
                </c:pt>
                <c:pt idx="19">
                  <c:v>-5.4042856319740311</c:v>
                </c:pt>
                <c:pt idx="20">
                  <c:v>-4.7778998091732729</c:v>
                </c:pt>
                <c:pt idx="21">
                  <c:v>-4.197210405136758</c:v>
                </c:pt>
                <c:pt idx="22">
                  <c:v>-3.6580566048562835</c:v>
                </c:pt>
                <c:pt idx="23">
                  <c:v>-3.1569191786888302</c:v>
                </c:pt>
                <c:pt idx="24">
                  <c:v>-2.6908056816255073</c:v>
                </c:pt>
                <c:pt idx="25">
                  <c:v>-2.2571593158461059</c:v>
                </c:pt>
                <c:pt idx="26">
                  <c:v>-1.853785940793321</c:v>
                </c:pt>
                <c:pt idx="27">
                  <c:v>-1.4787951377148238</c:v>
                </c:pt>
                <c:pt idx="28">
                  <c:v>-1.1305522583165077</c:v>
                </c:pt>
                <c:pt idx="29">
                  <c:v>-0.80763913104132667</c:v>
                </c:pt>
                <c:pt idx="30">
                  <c:v>-0.50882164552634523</c:v>
                </c:pt>
                <c:pt idx="31">
                  <c:v>-0.23302284221941014</c:v>
                </c:pt>
                <c:pt idx="32">
                  <c:v>2.0699560993811018E-2</c:v>
                </c:pt>
                <c:pt idx="33">
                  <c:v>0.25317204255201586</c:v>
                </c:pt>
                <c:pt idx="34">
                  <c:v>0.46512121263932915</c:v>
                </c:pt>
                <c:pt idx="35">
                  <c:v>0.6571873360244479</c:v>
                </c:pt>
                <c:pt idx="36">
                  <c:v>0.82993586303497702</c:v>
                </c:pt>
                <c:pt idx="37">
                  <c:v>0.98386730738152262</c:v>
                </c:pt>
                <c:pt idx="38">
                  <c:v>1.1194257451003859</c:v>
                </c:pt>
                <c:pt idx="39">
                  <c:v>1.2370061579130618</c:v>
                </c:pt>
                <c:pt idx="40">
                  <c:v>1.3369608037444796</c:v>
                </c:pt>
                <c:pt idx="41">
                  <c:v>1.4196047646872927</c:v>
                </c:pt>
                <c:pt idx="42">
                  <c:v>1.4852207965851614</c:v>
                </c:pt>
                <c:pt idx="43">
                  <c:v>1.5340635832873892</c:v>
                </c:pt>
                <c:pt idx="44">
                  <c:v>1.5622273646111722</c:v>
                </c:pt>
                <c:pt idx="45">
                  <c:v>1.3235304604630693</c:v>
                </c:pt>
                <c:pt idx="46">
                  <c:v>0.32258294817979777</c:v>
                </c:pt>
                <c:pt idx="47">
                  <c:v>-1.9102746914335702</c:v>
                </c:pt>
                <c:pt idx="48">
                  <c:v>-5.8747719359260548</c:v>
                </c:pt>
                <c:pt idx="49">
                  <c:v>-12.119593293634377</c:v>
                </c:pt>
                <c:pt idx="50">
                  <c:v>-21.251596715628647</c:v>
                </c:pt>
                <c:pt idx="51">
                  <c:v>-33.942278621730161</c:v>
                </c:pt>
                <c:pt idx="52">
                  <c:v>-50.933154714983033</c:v>
                </c:pt>
                <c:pt idx="53">
                  <c:v>-73.040650303149675</c:v>
                </c:pt>
                <c:pt idx="54">
                  <c:v>-101.16075707359001</c:v>
                </c:pt>
                <c:pt idx="55">
                  <c:v>-136.27358230591128</c:v>
                </c:pt>
                <c:pt idx="56">
                  <c:v>-179.44785793968475</c:v>
                </c:pt>
                <c:pt idx="57">
                  <c:v>-231.84544798002796</c:v>
                </c:pt>
                <c:pt idx="58">
                  <c:v>-294.72587731217368</c:v>
                </c:pt>
                <c:pt idx="59">
                  <c:v>-369.45089628769807</c:v>
                </c:pt>
                <c:pt idx="60">
                  <c:v>-457.48909028398691</c:v>
                </c:pt>
                <c:pt idx="61">
                  <c:v>-560.42054025713207</c:v>
                </c:pt>
                <c:pt idx="62">
                  <c:v>-679.9415382819958</c:v>
                </c:pt>
                <c:pt idx="63">
                  <c:v>-817.86936074589812</c:v>
                </c:pt>
                <c:pt idx="64">
                  <c:v>-976.14710097238708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E9-4774-A5BD-0605B017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240"/>
        <c:axId val="2040723168"/>
      </c:scatterChart>
      <c:valAx>
        <c:axId val="18419382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723168"/>
        <c:crosses val="autoZero"/>
        <c:crossBetween val="midCat"/>
      </c:valAx>
      <c:valAx>
        <c:axId val="204072316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Vs(m/s)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19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gamma,h=0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'ENecesario(W3)'!$F$108:$F$172</c:f>
              <c:numCache>
                <c:formatCode>General</c:formatCode>
                <c:ptCount val="65"/>
                <c:pt idx="0">
                  <c:v>-36.637025041065321</c:v>
                </c:pt>
                <c:pt idx="1">
                  <c:v>-20.839475977855766</c:v>
                </c:pt>
                <c:pt idx="2">
                  <c:v>-10.496839578314122</c:v>
                </c:pt>
                <c:pt idx="3">
                  <c:v>-3.9462853862413381</c:v>
                </c:pt>
                <c:pt idx="4">
                  <c:v>0.29857093838660143</c:v>
                </c:pt>
                <c:pt idx="5">
                  <c:v>3.14543815895254</c:v>
                </c:pt>
                <c:pt idx="6">
                  <c:v>5.1159067210760432</c:v>
                </c:pt>
                <c:pt idx="7">
                  <c:v>6.5146254858486712</c:v>
                </c:pt>
                <c:pt idx="8">
                  <c:v>7.5259883520327913</c:v>
                </c:pt>
                <c:pt idx="9">
                  <c:v>8.2659298441370037</c:v>
                </c:pt>
                <c:pt idx="10">
                  <c:v>8.8099699957202571</c:v>
                </c:pt>
                <c:pt idx="11">
                  <c:v>9.2088808919589802</c:v>
                </c:pt>
                <c:pt idx="12">
                  <c:v>9.4977565521809595</c:v>
                </c:pt>
                <c:pt idx="13">
                  <c:v>9.7014500974876281</c:v>
                </c:pt>
                <c:pt idx="14">
                  <c:v>9.8379401542869527</c:v>
                </c:pt>
                <c:pt idx="15">
                  <c:v>9.9204771090698465</c:v>
                </c:pt>
                <c:pt idx="16">
                  <c:v>9.9589880271789646</c:v>
                </c:pt>
                <c:pt idx="17">
                  <c:v>9.9610183645542669</c:v>
                </c:pt>
                <c:pt idx="18">
                  <c:v>9.9323768064460882</c:v>
                </c:pt>
                <c:pt idx="19">
                  <c:v>9.8775854036465596</c:v>
                </c:pt>
                <c:pt idx="20">
                  <c:v>9.8001993163195102</c:v>
                </c:pt>
                <c:pt idx="21">
                  <c:v>9.7030375575922072</c:v>
                </c:pt>
                <c:pt idx="22">
                  <c:v>9.5883519268652879</c:v>
                </c:pt>
                <c:pt idx="23">
                  <c:v>9.4579523299561998</c:v>
                </c:pt>
                <c:pt idx="24">
                  <c:v>9.3133008749831721</c:v>
                </c:pt>
                <c:pt idx="25">
                  <c:v>9.155583312493432</c:v>
                </c:pt>
                <c:pt idx="26">
                  <c:v>8.9857638327926281</c:v>
                </c:pt>
                <c:pt idx="27">
                  <c:v>8.8046274971717526</c:v>
                </c:pt>
                <c:pt idx="28">
                  <c:v>8.6128133829722024</c:v>
                </c:pt>
                <c:pt idx="29">
                  <c:v>8.4108406864217713</c:v>
                </c:pt>
                <c:pt idx="30">
                  <c:v>8.1991294358517681</c:v>
                </c:pt>
                <c:pt idx="31">
                  <c:v>7.9780170447647452</c:v>
                </c:pt>
                <c:pt idx="32">
                  <c:v>7.7477716281252329</c:v>
                </c:pt>
                <c:pt idx="33">
                  <c:v>7.5086027815565988</c:v>
                </c:pt>
                <c:pt idx="34">
                  <c:v>7.2606703580946066</c:v>
                </c:pt>
                <c:pt idx="35">
                  <c:v>7.004091654298441</c:v>
                </c:pt>
                <c:pt idx="36">
                  <c:v>6.7389473252989145</c:v>
                </c:pt>
                <c:pt idx="37">
                  <c:v>6.4652862785861904</c:v>
                </c:pt>
                <c:pt idx="38">
                  <c:v>6.1831297431494114</c:v>
                </c:pt>
                <c:pt idx="39">
                  <c:v>5.8924746697511168</c:v>
                </c:pt>
                <c:pt idx="40">
                  <c:v>5.5932965865711504</c:v>
                </c:pt>
                <c:pt idx="41">
                  <c:v>5.2855520099275566</c:v>
                </c:pt>
                <c:pt idx="42">
                  <c:v>4.9691804906032102</c:v>
                </c:pt>
                <c:pt idx="43">
                  <c:v>4.644106361229273</c:v>
                </c:pt>
                <c:pt idx="44">
                  <c:v>4.310240238264381</c:v>
                </c:pt>
                <c:pt idx="45">
                  <c:v>3.9674803226532291</c:v>
                </c:pt>
                <c:pt idx="46">
                  <c:v>3.6157135357124441</c:v>
                </c:pt>
                <c:pt idx="47">
                  <c:v>3.2548165207621467</c:v>
                </c:pt>
                <c:pt idx="48">
                  <c:v>2.8846565361816325</c:v>
                </c:pt>
                <c:pt idx="49">
                  <c:v>2.5050922616702787</c:v>
                </c:pt>
                <c:pt idx="50">
                  <c:v>2.1159745363488076</c:v>
                </c:pt>
                <c:pt idx="51">
                  <c:v>1.7109014080993332</c:v>
                </c:pt>
                <c:pt idx="52">
                  <c:v>1.0979979621597249</c:v>
                </c:pt>
                <c:pt idx="53">
                  <c:v>-3.295203902034987E-2</c:v>
                </c:pt>
                <c:pt idx="54">
                  <c:v>-1.9460511576827202</c:v>
                </c:pt>
                <c:pt idx="55">
                  <c:v>-4.8917924196401374</c:v>
                </c:pt>
                <c:pt idx="56">
                  <c:v>-9.0932011824248669</c:v>
                </c:pt>
                <c:pt idx="57">
                  <c:v>-14.693280013284411</c:v>
                </c:pt>
                <c:pt idx="58">
                  <c:v>-21.661092036498086</c:v>
                </c:pt>
                <c:pt idx="59">
                  <c:v>-29.692269085190095</c:v>
                </c:pt>
                <c:pt idx="60">
                  <c:v>-38.201927911142761</c:v>
                </c:pt>
                <c:pt idx="61">
                  <c:v>-46.488616422232411</c:v>
                </c:pt>
                <c:pt idx="62">
                  <c:v>-53.98389626471576</c:v>
                </c:pt>
                <c:pt idx="63">
                  <c:v>-60.397225526777618</c:v>
                </c:pt>
                <c:pt idx="64">
                  <c:v>-65.69128780647786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9-4CC6-AA74-E7C86D28D489}"/>
            </c:ext>
          </c:extLst>
        </c:ser>
        <c:ser>
          <c:idx val="1"/>
          <c:order val="1"/>
          <c:tx>
            <c:v>gamma,h1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'ENecesario(W3)'!$J$108:$J$172</c:f>
              <c:numCache>
                <c:formatCode>General</c:formatCode>
                <c:ptCount val="65"/>
                <c:pt idx="0">
                  <c:v>-43.547141300935024</c:v>
                </c:pt>
                <c:pt idx="1">
                  <c:v>-27.861418734731416</c:v>
                </c:pt>
                <c:pt idx="2">
                  <c:v>-16.742587948635204</c:v>
                </c:pt>
                <c:pt idx="3">
                  <c:v>-9.3476423647564086</c:v>
                </c:pt>
                <c:pt idx="4">
                  <c:v>-4.4114852077073916</c:v>
                </c:pt>
                <c:pt idx="5">
                  <c:v>-1.0308167513139268</c:v>
                </c:pt>
                <c:pt idx="6">
                  <c:v>1.3526065269674972</c:v>
                </c:pt>
                <c:pt idx="7">
                  <c:v>3.0775755323875171</c:v>
                </c:pt>
                <c:pt idx="8">
                  <c:v>4.3536874656471136</c:v>
                </c:pt>
                <c:pt idx="9">
                  <c:v>5.3145005214788803</c:v>
                </c:pt>
                <c:pt idx="10">
                  <c:v>6.0477787458015886</c:v>
                </c:pt>
                <c:pt idx="11">
                  <c:v>6.6128863538213141</c:v>
                </c:pt>
                <c:pt idx="12">
                  <c:v>7.0510440502268414</c:v>
                </c:pt>
                <c:pt idx="13">
                  <c:v>7.3915525538262017</c:v>
                </c:pt>
                <c:pt idx="14">
                  <c:v>7.655678311155425</c:v>
                </c:pt>
                <c:pt idx="15">
                  <c:v>7.8591457164196079</c:v>
                </c:pt>
                <c:pt idx="16">
                  <c:v>8.0137757001492123</c:v>
                </c:pt>
                <c:pt idx="17">
                  <c:v>8.1285877356828653</c:v>
                </c:pt>
                <c:pt idx="18">
                  <c:v>8.2105563956933771</c:v>
                </c:pt>
                <c:pt idx="19">
                  <c:v>8.2651405653931533</c:v>
                </c:pt>
                <c:pt idx="20">
                  <c:v>8.2966599933246936</c:v>
                </c:pt>
                <c:pt idx="21">
                  <c:v>8.3085674178801625</c:v>
                </c:pt>
                <c:pt idx="22">
                  <c:v>8.3036480456727428</c:v>
                </c:pt>
                <c:pt idx="23">
                  <c:v>8.2841676962528012</c:v>
                </c:pt>
                <c:pt idx="24">
                  <c:v>8.2359073186791587</c:v>
                </c:pt>
                <c:pt idx="25">
                  <c:v>8.1270255110531284</c:v>
                </c:pt>
                <c:pt idx="26">
                  <c:v>8.0057282605941289</c:v>
                </c:pt>
                <c:pt idx="27">
                  <c:v>7.872994167018704</c:v>
                </c:pt>
                <c:pt idx="28">
                  <c:v>7.7296297149787963</c:v>
                </c:pt>
                <c:pt idx="29">
                  <c:v>7.5763001202145599</c:v>
                </c:pt>
                <c:pt idx="30">
                  <c:v>7.4135538179523781</c:v>
                </c:pt>
                <c:pt idx="31">
                  <c:v>7.2418420409587547</c:v>
                </c:pt>
                <c:pt idx="32">
                  <c:v>7.0615345745999294</c:v>
                </c:pt>
                <c:pt idx="33">
                  <c:v>6.8729325130175951</c:v>
                </c:pt>
                <c:pt idx="34">
                  <c:v>6.6762786462389485</c:v>
                </c:pt>
                <c:pt idx="35">
                  <c:v>6.4717659633492604</c:v>
                </c:pt>
                <c:pt idx="36">
                  <c:v>6.2595446481937778</c:v>
                </c:pt>
                <c:pt idx="37">
                  <c:v>6.0397278618222936</c:v>
                </c:pt>
                <c:pt idx="38">
                  <c:v>5.8123965431595055</c:v>
                </c:pt>
                <c:pt idx="39">
                  <c:v>5.5776034112046222</c:v>
                </c:pt>
                <c:pt idx="40">
                  <c:v>5.3353763148129794</c:v>
                </c:pt>
                <c:pt idx="41">
                  <c:v>5.0857210471305194</c:v>
                </c:pt>
                <c:pt idx="42">
                  <c:v>4.8286237190695775</c:v>
                </c:pt>
                <c:pt idx="43">
                  <c:v>4.5640527683647623</c:v>
                </c:pt>
                <c:pt idx="44">
                  <c:v>4.291960666626788</c:v>
                </c:pt>
                <c:pt idx="45">
                  <c:v>4.0122853755884957</c:v>
                </c:pt>
                <c:pt idx="46">
                  <c:v>3.7249515947760945</c:v>
                </c:pt>
                <c:pt idx="47">
                  <c:v>3.4298718356547595</c:v>
                </c:pt>
                <c:pt idx="48">
                  <c:v>3.1269473515181456</c:v>
                </c:pt>
                <c:pt idx="49">
                  <c:v>2.8160689477266825</c:v>
                </c:pt>
                <c:pt idx="50">
                  <c:v>2.4939680378550069</c:v>
                </c:pt>
                <c:pt idx="51">
                  <c:v>2.009588302678754</c:v>
                </c:pt>
                <c:pt idx="52">
                  <c:v>1.0890995324239308</c:v>
                </c:pt>
                <c:pt idx="53">
                  <c:v>-0.5015093675172464</c:v>
                </c:pt>
                <c:pt idx="54">
                  <c:v>-2.9878707445044372</c:v>
                </c:pt>
                <c:pt idx="55">
                  <c:v>-6.5831348553773301</c:v>
                </c:pt>
                <c:pt idx="56">
                  <c:v>-11.455421843697117</c:v>
                </c:pt>
                <c:pt idx="57">
                  <c:v>-17.659970349054802</c:v>
                </c:pt>
                <c:pt idx="58">
                  <c:v>-25.046219415286085</c:v>
                </c:pt>
                <c:pt idx="59">
                  <c:v>-33.198569485935053</c:v>
                </c:pt>
                <c:pt idx="60">
                  <c:v>-41.500712149917447</c:v>
                </c:pt>
                <c:pt idx="61">
                  <c:v>-49.333317592524367</c:v>
                </c:pt>
                <c:pt idx="62">
                  <c:v>-56.270997739265354</c:v>
                </c:pt>
                <c:pt idx="63">
                  <c:v>-62.144883144554477</c:v>
                </c:pt>
                <c:pt idx="64">
                  <c:v>-66.981218552210578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9-4CC6-AA74-E7C86D28D489}"/>
            </c:ext>
          </c:extLst>
        </c:ser>
        <c:ser>
          <c:idx val="2"/>
          <c:order val="2"/>
          <c:tx>
            <c:v>gamma,h2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'ENecesario(W3)'!$N$108:$N$172</c:f>
              <c:numCache>
                <c:formatCode>General</c:formatCode>
                <c:ptCount val="65"/>
                <c:pt idx="0">
                  <c:v>-49.813159595065322</c:v>
                </c:pt>
                <c:pt idx="1">
                  <c:v>-34.671233585940925</c:v>
                </c:pt>
                <c:pt idx="2">
                  <c:v>-23.049668779399969</c:v>
                </c:pt>
                <c:pt idx="3">
                  <c:v>-14.892701665806179</c:v>
                </c:pt>
                <c:pt idx="4">
                  <c:v>-9.26778058986236</c:v>
                </c:pt>
                <c:pt idx="5">
                  <c:v>-5.3361721953213301</c:v>
                </c:pt>
                <c:pt idx="6">
                  <c:v>-2.5244802496205865</c:v>
                </c:pt>
                <c:pt idx="7">
                  <c:v>-0.46583194228351277</c:v>
                </c:pt>
                <c:pt idx="8">
                  <c:v>1.0737006966004587</c:v>
                </c:pt>
                <c:pt idx="9">
                  <c:v>2.2459479435755458</c:v>
                </c:pt>
                <c:pt idx="10">
                  <c:v>3.1518691664769802</c:v>
                </c:pt>
                <c:pt idx="11">
                  <c:v>3.8603024466793574</c:v>
                </c:pt>
                <c:pt idx="12">
                  <c:v>4.4193180384616433</c:v>
                </c:pt>
                <c:pt idx="13">
                  <c:v>4.8632287531242078</c:v>
                </c:pt>
                <c:pt idx="14">
                  <c:v>5.2170195032358491</c:v>
                </c:pt>
                <c:pt idx="15">
                  <c:v>5.4992124759579726</c:v>
                </c:pt>
                <c:pt idx="16">
                  <c:v>5.7237626187920796</c:v>
                </c:pt>
                <c:pt idx="17">
                  <c:v>5.9013383441145555</c:v>
                </c:pt>
                <c:pt idx="18">
                  <c:v>6.0402039032394361</c:v>
                </c:pt>
                <c:pt idx="19">
                  <c:v>6.1468383372106317</c:v>
                </c:pt>
                <c:pt idx="20">
                  <c:v>6.2263768670037125</c:v>
                </c:pt>
                <c:pt idx="21">
                  <c:v>6.2829304645402066</c:v>
                </c:pt>
                <c:pt idx="22">
                  <c:v>6.3198204694696916</c:v>
                </c:pt>
                <c:pt idx="23">
                  <c:v>6.3397530583068935</c:v>
                </c:pt>
                <c:pt idx="24">
                  <c:v>6.3449505293731523</c:v>
                </c:pt>
                <c:pt idx="25">
                  <c:v>6.3372511786236068</c:v>
                </c:pt>
                <c:pt idx="26">
                  <c:v>6.318186054585091</c:v>
                </c:pt>
                <c:pt idx="27">
                  <c:v>6.2890385024277897</c:v>
                </c:pt>
                <c:pt idx="28">
                  <c:v>6.250890762618825</c:v>
                </c:pt>
                <c:pt idx="29">
                  <c:v>6.2046607375849225</c:v>
                </c:pt>
                <c:pt idx="30">
                  <c:v>6.1511312230233735</c:v>
                </c:pt>
                <c:pt idx="31">
                  <c:v>6.0909733148051615</c:v>
                </c:pt>
                <c:pt idx="32">
                  <c:v>6.0247652779468375</c:v>
                </c:pt>
                <c:pt idx="33">
                  <c:v>5.9530078534212292</c:v>
                </c:pt>
                <c:pt idx="34">
                  <c:v>5.8761367489982037</c:v>
                </c:pt>
                <c:pt idx="35">
                  <c:v>5.7945328891635706</c:v>
                </c:pt>
                <c:pt idx="36">
                  <c:v>5.6487028389678118</c:v>
                </c:pt>
                <c:pt idx="37">
                  <c:v>5.4770757732919417</c:v>
                </c:pt>
                <c:pt idx="38">
                  <c:v>5.2986295021111225</c:v>
                </c:pt>
                <c:pt idx="39">
                  <c:v>5.1134760945330555</c:v>
                </c:pt>
                <c:pt idx="40">
                  <c:v>4.9216988520049973</c:v>
                </c:pt>
                <c:pt idx="41">
                  <c:v>4.7233556506311389</c:v>
                </c:pt>
                <c:pt idx="42">
                  <c:v>4.5184817558793879</c:v>
                </c:pt>
                <c:pt idx="43">
                  <c:v>4.3070921997890483</c:v>
                </c:pt>
                <c:pt idx="44">
                  <c:v>4.0891837940499585</c:v>
                </c:pt>
                <c:pt idx="45">
                  <c:v>3.8647368390019925</c:v>
                </c:pt>
                <c:pt idx="46">
                  <c:v>3.633716577952498</c:v>
                </c:pt>
                <c:pt idx="47">
                  <c:v>3.3960744376561949</c:v>
                </c:pt>
                <c:pt idx="48">
                  <c:v>3.1517490889057953</c:v>
                </c:pt>
                <c:pt idx="49">
                  <c:v>2.8990189507763868</c:v>
                </c:pt>
                <c:pt idx="50">
                  <c:v>2.5175928703270798</c:v>
                </c:pt>
                <c:pt idx="51">
                  <c:v>1.7680237741914897</c:v>
                </c:pt>
                <c:pt idx="52">
                  <c:v>0.44490936677145149</c:v>
                </c:pt>
                <c:pt idx="53">
                  <c:v>-1.6514361839220466</c:v>
                </c:pt>
                <c:pt idx="54">
                  <c:v>-4.7162518329865204</c:v>
                </c:pt>
                <c:pt idx="55">
                  <c:v>-8.9211615969909186</c:v>
                </c:pt>
                <c:pt idx="56">
                  <c:v>-14.368414283999371</c:v>
                </c:pt>
                <c:pt idx="57">
                  <c:v>-21.017200163494145</c:v>
                </c:pt>
                <c:pt idx="58">
                  <c:v>-28.609825185873554</c:v>
                </c:pt>
                <c:pt idx="59">
                  <c:v>-36.665657135887827</c:v>
                </c:pt>
                <c:pt idx="60">
                  <c:v>-44.597504888586755</c:v>
                </c:pt>
                <c:pt idx="61">
                  <c:v>-51.899537279231701</c:v>
                </c:pt>
                <c:pt idx="62">
                  <c:v>-58.27588729887308</c:v>
                </c:pt>
                <c:pt idx="63">
                  <c:v>-63.645563198116882</c:v>
                </c:pt>
                <c:pt idx="64">
                  <c:v>-68.070656155895307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9-4CC6-AA74-E7C86D28D489}"/>
            </c:ext>
          </c:extLst>
        </c:ser>
        <c:ser>
          <c:idx val="3"/>
          <c:order val="3"/>
          <c:tx>
            <c:v>gamma,h3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'ENecesario(W3)'!$R$108:$R$172</c:f>
              <c:numCache>
                <c:formatCode>General</c:formatCode>
                <c:ptCount val="65"/>
                <c:pt idx="0">
                  <c:v>-55.447711480367367</c:v>
                </c:pt>
                <c:pt idx="1">
                  <c:v>-41.190223382634464</c:v>
                </c:pt>
                <c:pt idx="2">
                  <c:v>-29.364739498933872</c:v>
                </c:pt>
                <c:pt idx="3">
                  <c:v>-20.558118563512323</c:v>
                </c:pt>
                <c:pt idx="4">
                  <c:v>-14.247999968472293</c:v>
                </c:pt>
                <c:pt idx="5">
                  <c:v>-9.729572008013216</c:v>
                </c:pt>
                <c:pt idx="6">
                  <c:v>-6.44556137549875</c:v>
                </c:pt>
                <c:pt idx="7">
                  <c:v>-4.0120582724713003</c:v>
                </c:pt>
                <c:pt idx="8">
                  <c:v>-2.1737739499655033</c:v>
                </c:pt>
                <c:pt idx="9">
                  <c:v>-0.76073173525879145</c:v>
                </c:pt>
                <c:pt idx="10">
                  <c:v>0.34195598584085751</c:v>
                </c:pt>
                <c:pt idx="11">
                  <c:v>1.2134858078472075</c:v>
                </c:pt>
                <c:pt idx="12">
                  <c:v>1.9095847770065102</c:v>
                </c:pt>
                <c:pt idx="13">
                  <c:v>2.4702513339423691</c:v>
                </c:pt>
                <c:pt idx="14">
                  <c:v>2.9247313100026129</c:v>
                </c:pt>
                <c:pt idx="15">
                  <c:v>3.2947756627180471</c:v>
                </c:pt>
                <c:pt idx="16">
                  <c:v>3.596814593260437</c:v>
                </c:pt>
                <c:pt idx="17">
                  <c:v>3.8434360904197051</c:v>
                </c:pt>
                <c:pt idx="18">
                  <c:v>4.044409658862997</c:v>
                </c:pt>
                <c:pt idx="19">
                  <c:v>4.2074071850368409</c:v>
                </c:pt>
                <c:pt idx="20">
                  <c:v>4.3385185688320673</c:v>
                </c:pt>
                <c:pt idx="21">
                  <c:v>4.4426259605358656</c:v>
                </c:pt>
                <c:pt idx="22">
                  <c:v>4.5236790629692232</c:v>
                </c:pt>
                <c:pt idx="23">
                  <c:v>4.5849001986231519</c:v>
                </c:pt>
                <c:pt idx="24">
                  <c:v>4.6289388384705195</c:v>
                </c:pt>
                <c:pt idx="25">
                  <c:v>4.657989305056387</c:v>
                </c:pt>
                <c:pt idx="26">
                  <c:v>4.6738813253158487</c:v>
                </c:pt>
                <c:pt idx="27">
                  <c:v>4.6781503462996179</c:v>
                </c:pt>
                <c:pt idx="28">
                  <c:v>4.6720926117895898</c:v>
                </c:pt>
                <c:pt idx="29">
                  <c:v>4.6568086532332087</c:v>
                </c:pt>
                <c:pt idx="30">
                  <c:v>4.6332378933496861</c:v>
                </c:pt>
                <c:pt idx="31">
                  <c:v>4.6021863748121152</c:v>
                </c:pt>
                <c:pt idx="32">
                  <c:v>4.5643491286029745</c:v>
                </c:pt>
                <c:pt idx="33">
                  <c:v>4.5203283318170762</c:v>
                </c:pt>
                <c:pt idx="34">
                  <c:v>4.4706481348386093</c:v>
                </c:pt>
                <c:pt idx="35">
                  <c:v>4.415766836472919</c:v>
                </c:pt>
                <c:pt idx="36">
                  <c:v>4.3560869341354387</c:v>
                </c:pt>
                <c:pt idx="37">
                  <c:v>4.2919634613454178</c:v>
                </c:pt>
                <c:pt idx="38">
                  <c:v>4.2237109370397761</c:v>
                </c:pt>
                <c:pt idx="39">
                  <c:v>4.1516091837352258</c:v>
                </c:pt>
                <c:pt idx="40">
                  <c:v>4.0759082193063048</c:v>
                </c:pt>
                <c:pt idx="41">
                  <c:v>3.9968323864195008</c:v>
                </c:pt>
                <c:pt idx="42">
                  <c:v>3.9145838517330165</c:v>
                </c:pt>
                <c:pt idx="43">
                  <c:v>3.8293455817923894</c:v>
                </c:pt>
                <c:pt idx="44">
                  <c:v>3.7412838825885966</c:v>
                </c:pt>
                <c:pt idx="45">
                  <c:v>3.5705041236984538</c:v>
                </c:pt>
                <c:pt idx="46">
                  <c:v>3.3887713365243037</c:v>
                </c:pt>
                <c:pt idx="47">
                  <c:v>3.2012966078760097</c:v>
                </c:pt>
                <c:pt idx="48">
                  <c:v>3.0070999836929313</c:v>
                </c:pt>
                <c:pt idx="49">
                  <c:v>2.7084472721689248</c:v>
                </c:pt>
                <c:pt idx="50">
                  <c:v>2.09757190593559</c:v>
                </c:pt>
                <c:pt idx="51">
                  <c:v>0.99557791647728278</c:v>
                </c:pt>
                <c:pt idx="52">
                  <c:v>-0.77220655144982853</c:v>
                </c:pt>
                <c:pt idx="53">
                  <c:v>-3.3800940460638289</c:v>
                </c:pt>
                <c:pt idx="54">
                  <c:v>-6.9912462480036845</c:v>
                </c:pt>
                <c:pt idx="55">
                  <c:v>-11.728104752673421</c:v>
                </c:pt>
                <c:pt idx="56">
                  <c:v>-17.619110606444913</c:v>
                </c:pt>
                <c:pt idx="57">
                  <c:v>-24.531369544370094</c:v>
                </c:pt>
                <c:pt idx="58">
                  <c:v>-32.129706017271779</c:v>
                </c:pt>
                <c:pt idx="59">
                  <c:v>-39.919872271783873</c:v>
                </c:pt>
                <c:pt idx="60">
                  <c:v>-47.385428751963737</c:v>
                </c:pt>
                <c:pt idx="61">
                  <c:v>-54.137699726123522</c:v>
                </c:pt>
                <c:pt idx="62">
                  <c:v>-59.983730281945093</c:v>
                </c:pt>
                <c:pt idx="63">
                  <c:v>-64.899932214294651</c:v>
                </c:pt>
                <c:pt idx="64">
                  <c:v>-68.964859313890855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9-4CC6-AA74-E7C86D28D489}"/>
            </c:ext>
          </c:extLst>
        </c:ser>
        <c:ser>
          <c:idx val="4"/>
          <c:order val="4"/>
          <c:tx>
            <c:v>gamma,h4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'ENecesario(W3)'!$V$108:$V$172</c:f>
              <c:numCache>
                <c:formatCode>General</c:formatCode>
                <c:ptCount val="65"/>
                <c:pt idx="0">
                  <c:v>-60.487545286334239</c:v>
                </c:pt>
                <c:pt idx="1">
                  <c:v>-47.370208604510125</c:v>
                </c:pt>
                <c:pt idx="2">
                  <c:v>-35.665269906705568</c:v>
                </c:pt>
                <c:pt idx="3">
                  <c:v>-26.381060590142059</c:v>
                </c:pt>
                <c:pt idx="4">
                  <c:v>-19.426360224037658</c:v>
                </c:pt>
                <c:pt idx="5">
                  <c:v>-14.299265867932473</c:v>
                </c:pt>
                <c:pt idx="6">
                  <c:v>-10.500404731717376</c:v>
                </c:pt>
                <c:pt idx="7">
                  <c:v>-7.6470091275014607</c:v>
                </c:pt>
                <c:pt idx="8">
                  <c:v>-5.4689629629410863</c:v>
                </c:pt>
                <c:pt idx="9">
                  <c:v>-3.7798440231938355</c:v>
                </c:pt>
                <c:pt idx="10">
                  <c:v>-2.4507319186947436</c:v>
                </c:pt>
                <c:pt idx="11">
                  <c:v>-1.3913921643353682</c:v>
                </c:pt>
                <c:pt idx="12">
                  <c:v>-0.53765882892008343</c:v>
                </c:pt>
                <c:pt idx="13">
                  <c:v>0.15687131199212709</c:v>
                </c:pt>
                <c:pt idx="14">
                  <c:v>0.72631569809475305</c:v>
                </c:pt>
                <c:pt idx="15">
                  <c:v>1.1961554421472109</c:v>
                </c:pt>
                <c:pt idx="16">
                  <c:v>1.5857018160496315</c:v>
                </c:pt>
                <c:pt idx="17">
                  <c:v>1.9097892920956214</c:v>
                </c:pt>
                <c:pt idx="18">
                  <c:v>2.1799560304930901</c:v>
                </c:pt>
                <c:pt idx="19">
                  <c:v>2.4052796213620833</c:v>
                </c:pt>
                <c:pt idx="20">
                  <c:v>2.5929774161540884</c:v>
                </c:pt>
                <c:pt idx="21">
                  <c:v>2.7488437060457787</c:v>
                </c:pt>
                <c:pt idx="22">
                  <c:v>2.8775722022575145</c:v>
                </c:pt>
                <c:pt idx="23">
                  <c:v>2.982996782603768</c:v>
                </c:pt>
                <c:pt idx="24">
                  <c:v>3.0682732446968637</c:v>
                </c:pt>
                <c:pt idx="25">
                  <c:v>3.1360179636567413</c:v>
                </c:pt>
                <c:pt idx="26">
                  <c:v>3.188414710069698</c:v>
                </c:pt>
                <c:pt idx="27">
                  <c:v>3.227297693292055</c:v>
                </c:pt>
                <c:pt idx="28">
                  <c:v>3.2542166746826791</c:v>
                </c:pt>
                <c:pt idx="29">
                  <c:v>3.2704884315804477</c:v>
                </c:pt>
                <c:pt idx="30">
                  <c:v>3.2772377391372274</c:v>
                </c:pt>
                <c:pt idx="31">
                  <c:v>3.2754302354587823</c:v>
                </c:pt>
                <c:pt idx="32">
                  <c:v>3.265898952623099</c:v>
                </c:pt>
                <c:pt idx="33">
                  <c:v>3.2493658682743933</c:v>
                </c:pt>
                <c:pt idx="34">
                  <c:v>3.2264595155616296</c:v>
                </c:pt>
                <c:pt idx="35">
                  <c:v>3.1977294524219815</c:v>
                </c:pt>
                <c:pt idx="36">
                  <c:v>3.1636582128887119</c:v>
                </c:pt>
                <c:pt idx="37">
                  <c:v>3.1246712277655146</c:v>
                </c:pt>
                <c:pt idx="38">
                  <c:v>3.081145098542835</c:v>
                </c:pt>
                <c:pt idx="39">
                  <c:v>3.0334145287799519</c:v>
                </c:pt>
                <c:pt idx="40">
                  <c:v>2.9817781554536538</c:v>
                </c:pt>
                <c:pt idx="41">
                  <c:v>2.9265034746423475</c:v>
                </c:pt>
                <c:pt idx="42">
                  <c:v>2.8678310181566524</c:v>
                </c:pt>
                <c:pt idx="43">
                  <c:v>2.8059779079379106</c:v>
                </c:pt>
                <c:pt idx="44">
                  <c:v>2.7411408914146982</c:v>
                </c:pt>
                <c:pt idx="45">
                  <c:v>2.6734989421641639</c:v>
                </c:pt>
                <c:pt idx="46">
                  <c:v>2.6032154951235142</c:v>
                </c:pt>
                <c:pt idx="47">
                  <c:v>2.5297677509659828</c:v>
                </c:pt>
                <c:pt idx="48">
                  <c:v>2.3716500657493436</c:v>
                </c:pt>
                <c:pt idx="49">
                  <c:v>1.9499049651540399</c:v>
                </c:pt>
                <c:pt idx="50">
                  <c:v>1.1100753915379826</c:v>
                </c:pt>
                <c:pt idx="51">
                  <c:v>-0.29910496389587282</c:v>
                </c:pt>
                <c:pt idx="52">
                  <c:v>-2.4741917857578444</c:v>
                </c:pt>
                <c:pt idx="53">
                  <c:v>-5.5661161298217792</c:v>
                </c:pt>
                <c:pt idx="54">
                  <c:v>-9.6587666444363016</c:v>
                </c:pt>
                <c:pt idx="55">
                  <c:v>-14.819083816142257</c:v>
                </c:pt>
                <c:pt idx="56">
                  <c:v>-21.00169598612878</c:v>
                </c:pt>
                <c:pt idx="57">
                  <c:v>-27.999011606916149</c:v>
                </c:pt>
                <c:pt idx="58">
                  <c:v>-35.436893016641804</c:v>
                </c:pt>
                <c:pt idx="59">
                  <c:v>-42.849917793801708</c:v>
                </c:pt>
                <c:pt idx="60">
                  <c:v>-49.810487591622454</c:v>
                </c:pt>
                <c:pt idx="61">
                  <c:v>-56.032790520840202</c:v>
                </c:pt>
                <c:pt idx="62">
                  <c:v>-61.398218894910329</c:v>
                </c:pt>
                <c:pt idx="63">
                  <c:v>-65.917182035590571</c:v>
                </c:pt>
                <c:pt idx="64">
                  <c:v>-69.672446857319201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9-4CC6-AA74-E7C86D28D489}"/>
            </c:ext>
          </c:extLst>
        </c:ser>
        <c:ser>
          <c:idx val="5"/>
          <c:order val="5"/>
          <c:tx>
            <c:v>gamma,h5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'ENecesario(W3)'!$Z$108:$Z$172</c:f>
              <c:numCache>
                <c:formatCode>General</c:formatCode>
                <c:ptCount val="65"/>
                <c:pt idx="0">
                  <c:v>-64.971228509183106</c:v>
                </c:pt>
                <c:pt idx="1">
                  <c:v>-53.161680736054869</c:v>
                </c:pt>
                <c:pt idx="2">
                  <c:v>-41.900049704478938</c:v>
                </c:pt>
                <c:pt idx="3">
                  <c:v>-32.371416126519563</c:v>
                </c:pt>
                <c:pt idx="4">
                  <c:v>-24.865738080395815</c:v>
                </c:pt>
                <c:pt idx="5">
                  <c:v>-19.135557110173213</c:v>
                </c:pt>
                <c:pt idx="6">
                  <c:v>-14.788476428231363</c:v>
                </c:pt>
                <c:pt idx="7">
                  <c:v>-11.469748536748355</c:v>
                </c:pt>
                <c:pt idx="8">
                  <c:v>-8.906322403253256</c:v>
                </c:pt>
                <c:pt idx="9">
                  <c:v>-6.8997740878902905</c:v>
                </c:pt>
                <c:pt idx="10">
                  <c:v>-5.3083258037793701</c:v>
                </c:pt>
                <c:pt idx="11">
                  <c:v>-4.0305721634031482</c:v>
                </c:pt>
                <c:pt idx="12">
                  <c:v>-2.9933230682995018</c:v>
                </c:pt>
                <c:pt idx="13">
                  <c:v>-2.143088293547863</c:v>
                </c:pt>
                <c:pt idx="14">
                  <c:v>-1.4402363925187998</c:v>
                </c:pt>
                <c:pt idx="15">
                  <c:v>-0.85499743112663185</c:v>
                </c:pt>
                <c:pt idx="16">
                  <c:v>-0.36471020235135221</c:v>
                </c:pt>
                <c:pt idx="17">
                  <c:v>4.8093342568589464E-2</c:v>
                </c:pt>
                <c:pt idx="18">
                  <c:v>0.39703743801199987</c:v>
                </c:pt>
                <c:pt idx="19">
                  <c:v>0.69286525056571069</c:v>
                </c:pt>
                <c:pt idx="20">
                  <c:v>0.94413463129060748</c:v>
                </c:pt>
                <c:pt idx="21">
                  <c:v>1.1577272043264126</c:v>
                </c:pt>
                <c:pt idx="22">
                  <c:v>1.339225328499309</c:v>
                </c:pt>
                <c:pt idx="23">
                  <c:v>1.4931943912502634</c:v>
                </c:pt>
                <c:pt idx="24">
                  <c:v>1.6233964730558037</c:v>
                </c:pt>
                <c:pt idx="25">
                  <c:v>1.7329536968764419</c:v>
                </c:pt>
                <c:pt idx="26">
                  <c:v>1.8244742937436829</c:v>
                </c:pt>
                <c:pt idx="27">
                  <c:v>1.9001507597478873</c:v>
                </c:pt>
                <c:pt idx="28">
                  <c:v>1.9618369214347366</c:v>
                </c:pt>
                <c:pt idx="29">
                  <c:v>2.0111089168127787</c:v>
                </c:pt>
                <c:pt idx="30">
                  <c:v>2.0493138053550046</c:v>
                </c:pt>
                <c:pt idx="31">
                  <c:v>2.077608586099235</c:v>
                </c:pt>
                <c:pt idx="32">
                  <c:v>2.0969917218022296</c:v>
                </c:pt>
                <c:pt idx="33">
                  <c:v>2.108328765941077</c:v>
                </c:pt>
                <c:pt idx="34">
                  <c:v>2.112373317400106</c:v>
                </c:pt>
                <c:pt idx="35">
                  <c:v>2.1097842493261196</c:v>
                </c:pt>
                <c:pt idx="36">
                  <c:v>2.101139948677833</c:v>
                </c:pt>
                <c:pt idx="37">
                  <c:v>2.0869501434380346</c:v>
                </c:pt>
                <c:pt idx="38">
                  <c:v>2.0676657723323038</c:v>
                </c:pt>
                <c:pt idx="39">
                  <c:v>2.0436872577866274</c:v>
                </c:pt>
                <c:pt idx="40">
                  <c:v>2.0153714698603702</c:v>
                </c:pt>
                <c:pt idx="41">
                  <c:v>1.9830376119225748</c:v>
                </c:pt>
                <c:pt idx="42">
                  <c:v>1.9469722141159422</c:v>
                </c:pt>
                <c:pt idx="43">
                  <c:v>1.9074333853440171</c:v>
                </c:pt>
                <c:pt idx="44">
                  <c:v>1.864654446490486</c:v>
                </c:pt>
                <c:pt idx="45">
                  <c:v>1.8188470452183871</c:v>
                </c:pt>
                <c:pt idx="46">
                  <c:v>1.7695958119548325</c:v>
                </c:pt>
                <c:pt idx="47">
                  <c:v>1.6466385534509163</c:v>
                </c:pt>
                <c:pt idx="48">
                  <c:v>1.2966567765387613</c:v>
                </c:pt>
                <c:pt idx="49">
                  <c:v>0.58708941837482087</c:v>
                </c:pt>
                <c:pt idx="50">
                  <c:v>-0.61208677299841507</c:v>
                </c:pt>
                <c:pt idx="51">
                  <c:v>-2.4330835773125532</c:v>
                </c:pt>
                <c:pt idx="52">
                  <c:v>-5.0074686893134164</c:v>
                </c:pt>
                <c:pt idx="53">
                  <c:v>-8.4549577256850057</c:v>
                </c:pt>
                <c:pt idx="54">
                  <c:v>-12.859999082304471</c:v>
                </c:pt>
                <c:pt idx="55">
                  <c:v>-18.234198659675211</c:v>
                </c:pt>
                <c:pt idx="56">
                  <c:v>-24.472052919246732</c:v>
                </c:pt>
                <c:pt idx="57">
                  <c:v>-31.324156845258941</c:v>
                </c:pt>
                <c:pt idx="58">
                  <c:v>-38.420885601781961</c:v>
                </c:pt>
                <c:pt idx="59">
                  <c:v>-45.396414141816102</c:v>
                </c:pt>
                <c:pt idx="60">
                  <c:v>-51.855103495926805</c:v>
                </c:pt>
                <c:pt idx="61">
                  <c:v>-57.589865950167507</c:v>
                </c:pt>
                <c:pt idx="62">
                  <c:v>-62.53191821567772</c:v>
                </c:pt>
                <c:pt idx="63">
                  <c:v>-66.709435263572743</c:v>
                </c:pt>
                <c:pt idx="64">
                  <c:v>-70.202315914185377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49-4CC6-AA74-E7C86D28D489}"/>
            </c:ext>
          </c:extLst>
        </c:ser>
        <c:ser>
          <c:idx val="6"/>
          <c:order val="6"/>
          <c:tx>
            <c:v>gamma,h6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'ENecesario(W3)'!$AD$108:$AD$171</c:f>
              <c:numCache>
                <c:formatCode>General</c:formatCode>
                <c:ptCount val="64"/>
                <c:pt idx="0">
                  <c:v>-68.936735731086543</c:v>
                </c:pt>
                <c:pt idx="1">
                  <c:v>-58.518519524454547</c:v>
                </c:pt>
                <c:pt idx="2">
                  <c:v>-47.989551509590079</c:v>
                </c:pt>
                <c:pt idx="3">
                  <c:v>-38.498479344231406</c:v>
                </c:pt>
                <c:pt idx="4">
                  <c:v>-30.601500654418857</c:v>
                </c:pt>
                <c:pt idx="5">
                  <c:v>-24.318940757337028</c:v>
                </c:pt>
                <c:pt idx="6">
                  <c:v>-19.412217096390872</c:v>
                </c:pt>
                <c:pt idx="7">
                  <c:v>-15.589557569451715</c:v>
                </c:pt>
                <c:pt idx="8">
                  <c:v>-12.593938754048949</c:v>
                </c:pt>
                <c:pt idx="9">
                  <c:v>-10.223703507913926</c:v>
                </c:pt>
                <c:pt idx="10">
                  <c:v>-8.327708479698142</c:v>
                </c:pt>
                <c:pt idx="11">
                  <c:v>-6.7943957321342392</c:v>
                </c:pt>
                <c:pt idx="12">
                  <c:v>-5.5414976174093535</c:v>
                </c:pt>
                <c:pt idx="13">
                  <c:v>-4.5079712397783354</c:v>
                </c:pt>
                <c:pt idx="14">
                  <c:v>-3.6480900784958279</c:v>
                </c:pt>
                <c:pt idx="15">
                  <c:v>-2.9272250554836101</c:v>
                </c:pt>
                <c:pt idx="16">
                  <c:v>-2.3188530837509362</c:v>
                </c:pt>
                <c:pt idx="17">
                  <c:v>-1.8024315684951171</c:v>
                </c:pt>
                <c:pt idx="18">
                  <c:v>-1.3618780191166486</c:v>
                </c:pt>
                <c:pt idx="19">
                  <c:v>-0.98447262273271763</c:v>
                </c:pt>
                <c:pt idx="20">
                  <c:v>-0.66005805821650876</c:v>
                </c:pt>
                <c:pt idx="21">
                  <c:v>-0.38044989040825999</c:v>
                </c:pt>
                <c:pt idx="22">
                  <c:v>-0.13899755953627002</c:v>
                </c:pt>
                <c:pt idx="23">
                  <c:v>6.9745851397074607E-2</c:v>
                </c:pt>
                <c:pt idx="24">
                  <c:v>0.25027447738593295</c:v>
                </c:pt>
                <c:pt idx="25">
                  <c:v>0.40632203500287495</c:v>
                </c:pt>
                <c:pt idx="26">
                  <c:v>0.54101065195690201</c:v>
                </c:pt>
                <c:pt idx="27">
                  <c:v>0.65696699315289464</c:v>
                </c:pt>
                <c:pt idx="28">
                  <c:v>0.75641359773146599</c:v>
                </c:pt>
                <c:pt idx="29">
                  <c:v>0.84124126453448833</c:v>
                </c:pt>
                <c:pt idx="30">
                  <c:v>0.91306683017237356</c:v>
                </c:pt>
                <c:pt idx="31">
                  <c:v>0.97327960046220607</c:v>
                </c:pt>
                <c:pt idx="32">
                  <c:v>1.0230789029807386</c:v>
                </c:pt>
                <c:pt idx="33">
                  <c:v>1.0635046430254356</c:v>
                </c:pt>
                <c:pt idx="34">
                  <c:v>1.0954623095044542</c:v>
                </c:pt>
                <c:pt idx="35">
                  <c:v>1.1197435503501001</c:v>
                </c:pt>
                <c:pt idx="36">
                  <c:v>1.1370431899254936</c:v>
                </c:pt>
                <c:pt idx="37">
                  <c:v>1.1479733727381349</c:v>
                </c:pt>
                <c:pt idx="38">
                  <c:v>1.1530753735229731</c:v>
                </c:pt>
                <c:pt idx="39">
                  <c:v>1.1528295024343276</c:v>
                </c:pt>
                <c:pt idx="40">
                  <c:v>1.1476634476295964</c:v>
                </c:pt>
                <c:pt idx="41">
                  <c:v>1.1379593299774011</c:v>
                </c:pt>
                <c:pt idx="42">
                  <c:v>1.1240596915380288</c:v>
                </c:pt>
                <c:pt idx="43">
                  <c:v>1.1062725975158885</c:v>
                </c:pt>
                <c:pt idx="44">
                  <c:v>1.0848759980599723</c:v>
                </c:pt>
                <c:pt idx="45">
                  <c:v>1.0594152215691959</c:v>
                </c:pt>
                <c:pt idx="46">
                  <c:v>0.96736184779618961</c:v>
                </c:pt>
                <c:pt idx="47">
                  <c:v>0.67836728697680793</c:v>
                </c:pt>
                <c:pt idx="48">
                  <c:v>7.9527106761068472E-2</c:v>
                </c:pt>
                <c:pt idx="49">
                  <c:v>-0.94032900312308643</c:v>
                </c:pt>
                <c:pt idx="50">
                  <c:v>-2.4947361439358442</c:v>
                </c:pt>
                <c:pt idx="51">
                  <c:v>-4.6981616698877273</c:v>
                </c:pt>
                <c:pt idx="52">
                  <c:v>-7.6589595551453495</c:v>
                </c:pt>
                <c:pt idx="53">
                  <c:v>-11.464087075187322</c:v>
                </c:pt>
                <c:pt idx="54">
                  <c:v>-16.153251605405462</c:v>
                </c:pt>
                <c:pt idx="55">
                  <c:v>-21.684605984667897</c:v>
                </c:pt>
                <c:pt idx="56">
                  <c:v>-27.904237398003005</c:v>
                </c:pt>
                <c:pt idx="57">
                  <c:v>-34.542403555675811</c:v>
                </c:pt>
                <c:pt idx="58">
                  <c:v>-41.25547002560419</c:v>
                </c:pt>
                <c:pt idx="59">
                  <c:v>-47.704263936111396</c:v>
                </c:pt>
                <c:pt idx="60">
                  <c:v>-53.629124182223094</c:v>
                </c:pt>
                <c:pt idx="61">
                  <c:v>-58.884821044248611</c:v>
                </c:pt>
                <c:pt idx="62">
                  <c:v>-63.431106871378709</c:v>
                </c:pt>
                <c:pt idx="63">
                  <c:v>-67.299965523000296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49-4CC6-AA74-E7C86D28D489}"/>
            </c:ext>
          </c:extLst>
        </c:ser>
        <c:ser>
          <c:idx val="7"/>
          <c:order val="7"/>
          <c:tx>
            <c:v>gamma,h=7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'ENecesario(W3)'!$A$108:$A$172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'ENecesario(W3)'!$AH$108:$AH$172</c:f>
              <c:numCache>
                <c:formatCode>General</c:formatCode>
                <c:ptCount val="65"/>
                <c:pt idx="0">
                  <c:v>-72.42106076305997</c:v>
                </c:pt>
                <c:pt idx="1">
                  <c:v>-63.4037782998099</c:v>
                </c:pt>
                <c:pt idx="2">
                  <c:v>-53.834648721847749</c:v>
                </c:pt>
                <c:pt idx="3">
                  <c:v>-44.68356691565976</c:v>
                </c:pt>
                <c:pt idx="4">
                  <c:v>-36.623246572135862</c:v>
                </c:pt>
                <c:pt idx="5">
                  <c:v>-29.902584414150645</c:v>
                </c:pt>
                <c:pt idx="6">
                  <c:v>-24.465061955290651</c:v>
                </c:pt>
                <c:pt idx="7">
                  <c:v>-20.119450264276974</c:v>
                </c:pt>
                <c:pt idx="8">
                  <c:v>-16.651048553271877</c:v>
                </c:pt>
                <c:pt idx="9">
                  <c:v>-13.869681596543828</c:v>
                </c:pt>
                <c:pt idx="10">
                  <c:v>-11.622081583854841</c:v>
                </c:pt>
                <c:pt idx="11">
                  <c:v>-9.7896806782263006</c:v>
                </c:pt>
                <c:pt idx="12">
                  <c:v>-8.2822103820734956</c:v>
                </c:pt>
                <c:pt idx="13">
                  <c:v>-7.0311767551848936</c:v>
                </c:pt>
                <c:pt idx="14">
                  <c:v>-5.9844382867980492</c:v>
                </c:pt>
                <c:pt idx="15">
                  <c:v>-5.1020356748344096</c:v>
                </c:pt>
                <c:pt idx="16">
                  <c:v>-4.3530883139660981</c:v>
                </c:pt>
                <c:pt idx="17">
                  <c:v>-3.7135140740104857</c:v>
                </c:pt>
                <c:pt idx="18">
                  <c:v>-3.1643583731610017</c:v>
                </c:pt>
                <c:pt idx="19">
                  <c:v>-2.6905662568008046</c:v>
                </c:pt>
                <c:pt idx="20">
                  <c:v>-2.2800747577626082</c:v>
                </c:pt>
                <c:pt idx="21">
                  <c:v>-1.9231369988467171</c:v>
                </c:pt>
                <c:pt idx="22">
                  <c:v>-1.6118147154734666</c:v>
                </c:pt>
                <c:pt idx="23">
                  <c:v>-1.3395939675192461</c:v>
                </c:pt>
                <c:pt idx="24">
                  <c:v>-1.1010916360930061</c:v>
                </c:pt>
                <c:pt idx="25">
                  <c:v>-0.89182936522199363</c:v>
                </c:pt>
                <c:pt idx="26">
                  <c:v>-0.70805802340096369</c:v>
                </c:pt>
                <c:pt idx="27">
                  <c:v>-0.54662031956787538</c:v>
                </c:pt>
                <c:pt idx="28">
                  <c:v>-0.4048424682289341</c:v>
                </c:pt>
                <c:pt idx="29">
                  <c:v>-0.28044814559449821</c:v>
                </c:pt>
                <c:pt idx="30">
                  <c:v>-0.17148968092774278</c:v>
                </c:pt>
                <c:pt idx="31">
                  <c:v>-7.6292671420162272E-2</c:v>
                </c:pt>
                <c:pt idx="32">
                  <c:v>6.5888748749496932E-3</c:v>
                </c:pt>
                <c:pt idx="33">
                  <c:v>7.8409083641075239E-2</c:v>
                </c:pt>
                <c:pt idx="34">
                  <c:v>0.14026015374737349</c:v>
                </c:pt>
                <c:pt idx="35">
                  <c:v>0.19309701612283642</c:v>
                </c:pt>
                <c:pt idx="36">
                  <c:v>0.23775774638186686</c:v>
                </c:pt>
                <c:pt idx="37">
                  <c:v>0.27498054392148868</c:v>
                </c:pt>
                <c:pt idx="38">
                  <c:v>0.30541791990271389</c:v>
                </c:pt>
                <c:pt idx="39">
                  <c:v>0.32964860481721131</c:v>
                </c:pt>
                <c:pt idx="40">
                  <c:v>0.34818758385961579</c:v>
                </c:pt>
                <c:pt idx="41">
                  <c:v>0.36149458812309748</c:v>
                </c:pt>
                <c:pt idx="42">
                  <c:v>0.36998130651598526</c:v>
                </c:pt>
                <c:pt idx="43">
                  <c:v>0.37401753335464366</c:v>
                </c:pt>
                <c:pt idx="44">
                  <c:v>0.37294904365141485</c:v>
                </c:pt>
                <c:pt idx="45">
                  <c:v>0.30951825211968581</c:v>
                </c:pt>
                <c:pt idx="46">
                  <c:v>7.3930524864016925E-2</c:v>
                </c:pt>
                <c:pt idx="47">
                  <c:v>-0.42921031439792379</c:v>
                </c:pt>
                <c:pt idx="48">
                  <c:v>-1.2943937377413903</c:v>
                </c:pt>
                <c:pt idx="49">
                  <c:v>-2.6185585233897646</c:v>
                </c:pt>
                <c:pt idx="50">
                  <c:v>-4.5004504559378882</c:v>
                </c:pt>
                <c:pt idx="51">
                  <c:v>-7.0362294932279807</c:v>
                </c:pt>
                <c:pt idx="52">
                  <c:v>-10.309612947987082</c:v>
                </c:pt>
                <c:pt idx="53">
                  <c:v>-14.374552040209517</c:v>
                </c:pt>
                <c:pt idx="54">
                  <c:v>-19.230314176621452</c:v>
                </c:pt>
                <c:pt idx="55">
                  <c:v>-24.794309225385589</c:v>
                </c:pt>
                <c:pt idx="56">
                  <c:v>-30.886155800748355</c:v>
                </c:pt>
                <c:pt idx="57">
                  <c:v>-37.24024537743459</c:v>
                </c:pt>
                <c:pt idx="58">
                  <c:v>-43.55313495432106</c:v>
                </c:pt>
                <c:pt idx="59">
                  <c:v>-49.548536409024869</c:v>
                </c:pt>
                <c:pt idx="60">
                  <c:v>-55.02835633866335</c:v>
                </c:pt>
                <c:pt idx="61">
                  <c:v>-59.889626417131517</c:v>
                </c:pt>
                <c:pt idx="62">
                  <c:v>-64.111038764086658</c:v>
                </c:pt>
                <c:pt idx="63">
                  <c:v>-67.725951173700508</c:v>
                </c:pt>
                <c:pt idx="64">
                  <c:v>-70.796355934566108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49-4CC6-AA74-E7C86D28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53280"/>
        <c:axId val="1840453824"/>
      </c:scatterChart>
      <c:valAx>
        <c:axId val="184045328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incidente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453824"/>
        <c:crosses val="autoZero"/>
        <c:crossBetween val="midCat"/>
      </c:valAx>
      <c:valAx>
        <c:axId val="184045382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</a:t>
                </a:r>
                <a:r>
                  <a:rPr lang="es-ES" baseline="0"/>
                  <a:t> de suida (º)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4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Flight speed envelope</a:t>
            </a:r>
            <a:r>
              <a:rPr lang="es-ES" baseline="0"/>
              <a:t>(W1)</a:t>
            </a:r>
            <a:endParaRPr lang="es-ES"/>
          </a:p>
        </c:rich>
      </c:tx>
      <c:layout>
        <c:manualLayout>
          <c:xMode val="edge"/>
          <c:yMode val="edge"/>
          <c:x val="0.30066132069991491"/>
          <c:y val="3.7013399640834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'Envolvente '!$B$2</c:f>
              <c:strCache>
                <c:ptCount val="1"/>
                <c:pt idx="0">
                  <c:v>v1(m/s)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'Envolvente '!$B$3:$B$10</c:f>
              <c:numCache>
                <c:formatCode>General</c:formatCode>
                <c:ptCount val="8"/>
                <c:pt idx="0">
                  <c:v>53</c:v>
                </c:pt>
                <c:pt idx="1">
                  <c:v>64</c:v>
                </c:pt>
                <c:pt idx="2">
                  <c:v>77</c:v>
                </c:pt>
                <c:pt idx="3">
                  <c:v>94</c:v>
                </c:pt>
                <c:pt idx="4">
                  <c:v>116</c:v>
                </c:pt>
                <c:pt idx="5">
                  <c:v>148</c:v>
                </c:pt>
                <c:pt idx="6">
                  <c:v>204</c:v>
                </c:pt>
              </c:numCache>
            </c:numRef>
          </c:xVal>
          <c:yVal>
            <c:numRef>
              <c:f>'Envolvente '!$A$3:$A$10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2-42B7-8F4C-95C808BEA672}"/>
            </c:ext>
          </c:extLst>
        </c:ser>
        <c:ser>
          <c:idx val="1"/>
          <c:order val="1"/>
          <c:tx>
            <c:strRef>
              <c:f>'Envolvente '!$C$2</c:f>
              <c:strCache>
                <c:ptCount val="1"/>
                <c:pt idx="0">
                  <c:v>v2(m/s)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'Envolvente '!$C$3:$C$10</c:f>
              <c:numCache>
                <c:formatCode>General</c:formatCode>
                <c:ptCount val="8"/>
                <c:pt idx="0">
                  <c:v>285</c:v>
                </c:pt>
                <c:pt idx="1">
                  <c:v>283</c:v>
                </c:pt>
                <c:pt idx="2">
                  <c:v>280</c:v>
                </c:pt>
                <c:pt idx="3">
                  <c:v>277</c:v>
                </c:pt>
                <c:pt idx="4">
                  <c:v>273</c:v>
                </c:pt>
                <c:pt idx="5">
                  <c:v>265</c:v>
                </c:pt>
                <c:pt idx="6">
                  <c:v>254</c:v>
                </c:pt>
              </c:numCache>
            </c:numRef>
          </c:xVal>
          <c:yVal>
            <c:numRef>
              <c:f>'Envolvente '!$A$3:$A$10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2-42B7-8F4C-95C808BEA672}"/>
            </c:ext>
          </c:extLst>
        </c:ser>
        <c:ser>
          <c:idx val="2"/>
          <c:order val="2"/>
          <c:tx>
            <c:v>Vstall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'Envolvente '!$D$3:$D$10</c:f>
              <c:numCache>
                <c:formatCode>General</c:formatCode>
                <c:ptCount val="8"/>
                <c:pt idx="0">
                  <c:v>84.68</c:v>
                </c:pt>
                <c:pt idx="1">
                  <c:v>91.11</c:v>
                </c:pt>
                <c:pt idx="2">
                  <c:v>98.21</c:v>
                </c:pt>
                <c:pt idx="3">
                  <c:v>106.32</c:v>
                </c:pt>
                <c:pt idx="4">
                  <c:v>115.36</c:v>
                </c:pt>
                <c:pt idx="5">
                  <c:v>125.57</c:v>
                </c:pt>
                <c:pt idx="6">
                  <c:v>137.16999999999999</c:v>
                </c:pt>
                <c:pt idx="7">
                  <c:v>150.42500000000001</c:v>
                </c:pt>
              </c:numCache>
            </c:numRef>
          </c:xVal>
          <c:yVal>
            <c:numRef>
              <c:f>'Envolvente '!$A$3:$A$10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DC-4DA4-9892-9D98BA07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15184"/>
        <c:axId val="2040723712"/>
      </c:scatterChart>
      <c:valAx>
        <c:axId val="20248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723712"/>
        <c:crosses val="autoZero"/>
        <c:crossBetween val="midCat"/>
      </c:valAx>
      <c:valAx>
        <c:axId val="20407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</a:t>
                </a:r>
                <a:r>
                  <a:rPr lang="es-ES" baseline="0"/>
                  <a:t>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8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Flight</a:t>
            </a:r>
            <a:r>
              <a:rPr lang="es-ES" baseline="0"/>
              <a:t> speed envelope</a:t>
            </a:r>
            <a:r>
              <a:rPr lang="es-ES"/>
              <a:t>(W2)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'Envolvente '!$K$1:$K$2</c:f>
              <c:strCache>
                <c:ptCount val="2"/>
                <c:pt idx="0">
                  <c:v>W2</c:v>
                </c:pt>
                <c:pt idx="1">
                  <c:v>v1(m/s)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'Envolvente '!$K$3:$K$10</c:f>
              <c:numCache>
                <c:formatCode>General</c:formatCode>
                <c:ptCount val="8"/>
                <c:pt idx="0">
                  <c:v>49</c:v>
                </c:pt>
                <c:pt idx="1">
                  <c:v>57</c:v>
                </c:pt>
                <c:pt idx="2">
                  <c:v>68</c:v>
                </c:pt>
                <c:pt idx="3">
                  <c:v>83</c:v>
                </c:pt>
                <c:pt idx="4">
                  <c:v>102</c:v>
                </c:pt>
                <c:pt idx="5">
                  <c:v>128</c:v>
                </c:pt>
                <c:pt idx="6">
                  <c:v>166</c:v>
                </c:pt>
              </c:numCache>
            </c:numRef>
          </c:xVal>
          <c:yVal>
            <c:numRef>
              <c:f>'Envolvente '!$J$3:$J$10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1-4D82-BD03-66A7348CDE8A}"/>
            </c:ext>
          </c:extLst>
        </c:ser>
        <c:ser>
          <c:idx val="1"/>
          <c:order val="1"/>
          <c:tx>
            <c:strRef>
              <c:f>'Envolvente '!$L$1:$L$2</c:f>
              <c:strCache>
                <c:ptCount val="2"/>
                <c:pt idx="0">
                  <c:v>W2</c:v>
                </c:pt>
                <c:pt idx="1">
                  <c:v>v2(m/s)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'Envolvente '!$L$3:$L$10</c:f>
              <c:numCache>
                <c:formatCode>General</c:formatCode>
                <c:ptCount val="8"/>
                <c:pt idx="0">
                  <c:v>285</c:v>
                </c:pt>
                <c:pt idx="1">
                  <c:v>282</c:v>
                </c:pt>
                <c:pt idx="2">
                  <c:v>280</c:v>
                </c:pt>
                <c:pt idx="3">
                  <c:v>278</c:v>
                </c:pt>
                <c:pt idx="4">
                  <c:v>272</c:v>
                </c:pt>
                <c:pt idx="5">
                  <c:v>265</c:v>
                </c:pt>
                <c:pt idx="6">
                  <c:v>258</c:v>
                </c:pt>
              </c:numCache>
            </c:numRef>
          </c:xVal>
          <c:yVal>
            <c:numRef>
              <c:f>'Envolvente '!$J$3:$J$10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1-4D82-BD03-66A7348CDE8A}"/>
            </c:ext>
          </c:extLst>
        </c:ser>
        <c:ser>
          <c:idx val="2"/>
          <c:order val="2"/>
          <c:tx>
            <c:v>Vstall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'Envolvente '!$M$3:$M$10</c:f>
              <c:numCache>
                <c:formatCode>General</c:formatCode>
                <c:ptCount val="8"/>
                <c:pt idx="0">
                  <c:v>79.58</c:v>
                </c:pt>
                <c:pt idx="1">
                  <c:v>85.63</c:v>
                </c:pt>
                <c:pt idx="2">
                  <c:v>92.37</c:v>
                </c:pt>
                <c:pt idx="3">
                  <c:v>99.92</c:v>
                </c:pt>
                <c:pt idx="4">
                  <c:v>108.41</c:v>
                </c:pt>
                <c:pt idx="5">
                  <c:v>118.01600000000001</c:v>
                </c:pt>
                <c:pt idx="6">
                  <c:v>128.91</c:v>
                </c:pt>
                <c:pt idx="7">
                  <c:v>141.36000000000001</c:v>
                </c:pt>
              </c:numCache>
            </c:numRef>
          </c:xVal>
          <c:yVal>
            <c:numRef>
              <c:f>'Envolvente '!$J$3:$J$10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7-4A61-97EB-D269A859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64768"/>
        <c:axId val="2134865312"/>
      </c:scatterChart>
      <c:valAx>
        <c:axId val="2134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</a:t>
                </a:r>
                <a:r>
                  <a:rPr lang="es-ES" baseline="0"/>
                  <a:t> (m/s)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5312"/>
        <c:crosses val="autoZero"/>
        <c:crossBetween val="midCat"/>
      </c:valAx>
      <c:valAx>
        <c:axId val="2134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Height(m)</a:t>
                </a:r>
              </a:p>
            </c:rich>
          </c:tx>
          <c:layout>
            <c:manualLayout>
              <c:xMode val="edge"/>
              <c:yMode val="edge"/>
              <c:x val="3.3167504516134427E-2"/>
              <c:y val="0.34253632065007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Flight speed envelope</a:t>
            </a:r>
            <a:r>
              <a:rPr lang="es-ES"/>
              <a:t>(W3)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'Envolvente '!$S$3:$S$10</c:f>
              <c:numCache>
                <c:formatCode>General</c:formatCode>
                <c:ptCount val="8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73</c:v>
                </c:pt>
                <c:pt idx="4">
                  <c:v>87</c:v>
                </c:pt>
                <c:pt idx="5">
                  <c:v>107</c:v>
                </c:pt>
                <c:pt idx="6">
                  <c:v>134</c:v>
                </c:pt>
                <c:pt idx="7">
                  <c:v>180</c:v>
                </c:pt>
              </c:numCache>
            </c:numRef>
          </c:xVal>
          <c:yVal>
            <c:numRef>
              <c:f>'Envolvente '!$R$3:$R$10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0-45AB-B834-2E05409D4D61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'Envolvente '!$T$3:$T$10</c:f>
              <c:numCache>
                <c:formatCode>General</c:formatCode>
                <c:ptCount val="8"/>
                <c:pt idx="0">
                  <c:v>287</c:v>
                </c:pt>
                <c:pt idx="1">
                  <c:v>285</c:v>
                </c:pt>
                <c:pt idx="2">
                  <c:v>282</c:v>
                </c:pt>
                <c:pt idx="3">
                  <c:v>278</c:v>
                </c:pt>
                <c:pt idx="4">
                  <c:v>275</c:v>
                </c:pt>
                <c:pt idx="5">
                  <c:v>269</c:v>
                </c:pt>
                <c:pt idx="6">
                  <c:v>260</c:v>
                </c:pt>
                <c:pt idx="7">
                  <c:v>252</c:v>
                </c:pt>
              </c:numCache>
            </c:numRef>
          </c:xVal>
          <c:yVal>
            <c:numRef>
              <c:f>'Envolvente '!$R$3:$R$10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0-45AB-B834-2E05409D4D61}"/>
            </c:ext>
          </c:extLst>
        </c:ser>
        <c:ser>
          <c:idx val="2"/>
          <c:order val="2"/>
          <c:tx>
            <c:v>Vstall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'Envolvente '!$U$3:$U$10</c:f>
              <c:numCache>
                <c:formatCode>General</c:formatCode>
                <c:ptCount val="8"/>
                <c:pt idx="0">
                  <c:v>73.37</c:v>
                </c:pt>
                <c:pt idx="1">
                  <c:v>78.94</c:v>
                </c:pt>
                <c:pt idx="2">
                  <c:v>85.15</c:v>
                </c:pt>
                <c:pt idx="3">
                  <c:v>92.11</c:v>
                </c:pt>
                <c:pt idx="4">
                  <c:v>99.94</c:v>
                </c:pt>
                <c:pt idx="5">
                  <c:v>108.79</c:v>
                </c:pt>
                <c:pt idx="6">
                  <c:v>118.84</c:v>
                </c:pt>
                <c:pt idx="7">
                  <c:v>130.32</c:v>
                </c:pt>
              </c:numCache>
            </c:numRef>
          </c:xVal>
          <c:yVal>
            <c:numRef>
              <c:f>'Envolvente '!$R$3:$R$10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4-4298-95B3-EA1058A5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59328"/>
        <c:axId val="2134856608"/>
      </c:scatterChart>
      <c:valAx>
        <c:axId val="21348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6608"/>
        <c:crosses val="autoZero"/>
        <c:crossBetween val="midCat"/>
      </c:valAx>
      <c:valAx>
        <c:axId val="21348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Flight speed envelope(W1)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V1(M)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'Envolvente '!$E$3:$E$9</c:f>
              <c:numCache>
                <c:formatCode>General</c:formatCode>
                <c:ptCount val="7"/>
                <c:pt idx="0">
                  <c:v>0.15519517883995357</c:v>
                </c:pt>
                <c:pt idx="1">
                  <c:v>0.19065887521310992</c:v>
                </c:pt>
                <c:pt idx="2">
                  <c:v>0.23351187485982111</c:v>
                </c:pt>
                <c:pt idx="3">
                  <c:v>0.29038454370316602</c:v>
                </c:pt>
                <c:pt idx="4">
                  <c:v>0.36529120127891179</c:v>
                </c:pt>
                <c:pt idx="5">
                  <c:v>0.47545707080091643</c:v>
                </c:pt>
                <c:pt idx="6">
                  <c:v>0.66912708648558661</c:v>
                </c:pt>
              </c:numCache>
            </c:numRef>
          </c:xVal>
          <c:yVal>
            <c:numRef>
              <c:f>'Envolvente '!$A$3:$A$9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1-4CE8-A55C-3F47DBF977F7}"/>
            </c:ext>
          </c:extLst>
        </c:ser>
        <c:ser>
          <c:idx val="1"/>
          <c:order val="1"/>
          <c:tx>
            <c:v>V2(M)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'Envolvente '!$F$3:$F$9</c:f>
              <c:numCache>
                <c:formatCode>General</c:formatCode>
                <c:ptCount val="7"/>
                <c:pt idx="0">
                  <c:v>0.83454011262993899</c:v>
                </c:pt>
                <c:pt idx="1">
                  <c:v>0.84306971383297047</c:v>
                </c:pt>
                <c:pt idx="2">
                  <c:v>0.84913409039934951</c:v>
                </c:pt>
                <c:pt idx="3">
                  <c:v>0.85570764474230843</c:v>
                </c:pt>
                <c:pt idx="4">
                  <c:v>0.85969394783743902</c:v>
                </c:pt>
                <c:pt idx="5">
                  <c:v>0.85132516055569496</c:v>
                </c:pt>
                <c:pt idx="6">
                  <c:v>0.83312882336930882</c:v>
                </c:pt>
              </c:numCache>
            </c:numRef>
          </c:xVal>
          <c:yVal>
            <c:numRef>
              <c:f>'Envolvente '!$A$3:$A$9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1-4CE8-A55C-3F47DBF977F7}"/>
            </c:ext>
          </c:extLst>
        </c:ser>
        <c:ser>
          <c:idx val="2"/>
          <c:order val="2"/>
          <c:tx>
            <c:v>Vstall(M)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'Envolvente '!$G$3:$G$10</c:f>
              <c:numCache>
                <c:formatCode>General</c:formatCode>
                <c:ptCount val="8"/>
                <c:pt idx="0">
                  <c:v>0.24796090083334468</c:v>
                </c:pt>
                <c:pt idx="1">
                  <c:v>0.27142078313541323</c:v>
                </c:pt>
                <c:pt idx="2">
                  <c:v>0.29783378220757184</c:v>
                </c:pt>
                <c:pt idx="3">
                  <c:v>0.32844345411192138</c:v>
                </c:pt>
                <c:pt idx="4">
                  <c:v>0.36327580154771782</c:v>
                </c:pt>
                <c:pt idx="5">
                  <c:v>0.40339962419237213</c:v>
                </c:pt>
                <c:pt idx="6">
                  <c:v>0.44992236496680349</c:v>
                </c:pt>
                <c:pt idx="7">
                  <c:v>0.50421884535785799</c:v>
                </c:pt>
              </c:numCache>
            </c:numRef>
          </c:xVal>
          <c:yVal>
            <c:numRef>
              <c:f>'Envolvente '!$A$3:$A$10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D1-4CE8-A55C-3F47DBF9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94191"/>
        <c:axId val="952601679"/>
      </c:scatterChart>
      <c:valAx>
        <c:axId val="9525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601679"/>
        <c:crosses val="autoZero"/>
        <c:crossBetween val="midCat"/>
      </c:valAx>
      <c:valAx>
        <c:axId val="9526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5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Flight speed envelope(W2)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V1(M)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'Envolvente '!$N$3:$N$9</c:f>
              <c:numCache>
                <c:formatCode>General</c:formatCode>
                <c:ptCount val="7"/>
                <c:pt idx="0">
                  <c:v>0.14348233515391934</c:v>
                </c:pt>
                <c:pt idx="1">
                  <c:v>0.16980556073667602</c:v>
                </c:pt>
                <c:pt idx="2">
                  <c:v>0.20621827909698487</c:v>
                </c:pt>
                <c:pt idx="3">
                  <c:v>0.25640337369534871</c:v>
                </c:pt>
                <c:pt idx="4">
                  <c:v>0.32120433215904315</c:v>
                </c:pt>
                <c:pt idx="5">
                  <c:v>0.41120611528727907</c:v>
                </c:pt>
                <c:pt idx="6">
                  <c:v>0.54448576645395774</c:v>
                </c:pt>
              </c:numCache>
            </c:numRef>
          </c:xVal>
          <c:yVal>
            <c:numRef>
              <c:f>'Envolvente '!$J$3:$J$9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C-48DD-8742-5D721D5BBD9D}"/>
            </c:ext>
          </c:extLst>
        </c:ser>
        <c:ser>
          <c:idx val="1"/>
          <c:order val="1"/>
          <c:tx>
            <c:v>V2(M)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'Envolvente '!$O$3:$O$9</c:f>
              <c:numCache>
                <c:formatCode>General</c:formatCode>
                <c:ptCount val="7"/>
                <c:pt idx="0">
                  <c:v>0.83454011262993899</c:v>
                </c:pt>
                <c:pt idx="1">
                  <c:v>0.84009066890776563</c:v>
                </c:pt>
                <c:pt idx="2">
                  <c:v>0.84913409039934951</c:v>
                </c:pt>
                <c:pt idx="3">
                  <c:v>0.85879684201574635</c:v>
                </c:pt>
                <c:pt idx="4">
                  <c:v>0.85654488575744836</c:v>
                </c:pt>
                <c:pt idx="5">
                  <c:v>0.85132516055569496</c:v>
                </c:pt>
                <c:pt idx="6">
                  <c:v>0.84624896232000668</c:v>
                </c:pt>
              </c:numCache>
            </c:numRef>
          </c:xVal>
          <c:yVal>
            <c:numRef>
              <c:f>'Envolvente '!$J$3:$J$9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C-48DD-8742-5D721D5BBD9D}"/>
            </c:ext>
          </c:extLst>
        </c:ser>
        <c:ser>
          <c:idx val="2"/>
          <c:order val="2"/>
          <c:tx>
            <c:v>Vstall(M)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'Envolvente '!$P$3:$P$10</c:f>
              <c:numCache>
                <c:formatCode>General</c:formatCode>
                <c:ptCount val="8"/>
                <c:pt idx="0">
                  <c:v>0.23302702513365101</c:v>
                </c:pt>
                <c:pt idx="1">
                  <c:v>0.25509561694529065</c:v>
                </c:pt>
                <c:pt idx="2">
                  <c:v>0.28012327117924257</c:v>
                </c:pt>
                <c:pt idx="3">
                  <c:v>0.30867259156191862</c:v>
                </c:pt>
                <c:pt idx="4">
                  <c:v>0.34138982009178298</c:v>
                </c:pt>
                <c:pt idx="5">
                  <c:v>0.37913203829487135</c:v>
                </c:pt>
                <c:pt idx="6">
                  <c:v>0.42282927803361259</c:v>
                </c:pt>
                <c:pt idx="7">
                  <c:v>0.47383331214749413</c:v>
                </c:pt>
              </c:numCache>
            </c:numRef>
          </c:xVal>
          <c:yVal>
            <c:numRef>
              <c:f>'Envolvente '!$J$3:$J$10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DC-48DD-8742-5D721D5B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98351"/>
        <c:axId val="952603343"/>
      </c:scatterChart>
      <c:valAx>
        <c:axId val="9525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603343"/>
        <c:crosses val="autoZero"/>
        <c:crossBetween val="midCat"/>
      </c:valAx>
      <c:valAx>
        <c:axId val="9526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5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Flight speed envelope(W3)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V1(M)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'Envolvente '!$V$3:$V$10</c:f>
              <c:numCache>
                <c:formatCode>General</c:formatCode>
                <c:ptCount val="8"/>
                <c:pt idx="0">
                  <c:v>0.12005664778185086</c:v>
                </c:pt>
                <c:pt idx="1">
                  <c:v>0.1459732013350373</c:v>
                </c:pt>
                <c:pt idx="2">
                  <c:v>0.18195730508557489</c:v>
                </c:pt>
                <c:pt idx="3">
                  <c:v>0.22551140096096936</c:v>
                </c:pt>
                <c:pt idx="4">
                  <c:v>0.27396840095918384</c:v>
                </c:pt>
                <c:pt idx="5">
                  <c:v>0.34374261199795986</c:v>
                </c:pt>
                <c:pt idx="6">
                  <c:v>0.43952465484837555</c:v>
                </c:pt>
                <c:pt idx="7">
                  <c:v>0.60335311393993307</c:v>
                </c:pt>
              </c:numCache>
            </c:numRef>
          </c:xVal>
          <c:yVal>
            <c:numRef>
              <c:f>'Envolvente '!$R$3:$R$10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C-4F0D-B471-A1CA18F060FF}"/>
            </c:ext>
          </c:extLst>
        </c:ser>
        <c:ser>
          <c:idx val="1"/>
          <c:order val="1"/>
          <c:tx>
            <c:v>V2(M)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'Envolvente '!$W$3:$W$10</c:f>
              <c:numCache>
                <c:formatCode>General</c:formatCode>
                <c:ptCount val="8"/>
                <c:pt idx="0">
                  <c:v>0.84039653447295604</c:v>
                </c:pt>
                <c:pt idx="1">
                  <c:v>0.84902780368338016</c:v>
                </c:pt>
                <c:pt idx="2">
                  <c:v>0.85519933390220204</c:v>
                </c:pt>
                <c:pt idx="3">
                  <c:v>0.85879684201574635</c:v>
                </c:pt>
                <c:pt idx="4">
                  <c:v>0.86599207199742023</c:v>
                </c:pt>
                <c:pt idx="5">
                  <c:v>0.86417535165842241</c:v>
                </c:pt>
                <c:pt idx="6">
                  <c:v>0.8528090317953555</c:v>
                </c:pt>
                <c:pt idx="7">
                  <c:v>0.84469435951590632</c:v>
                </c:pt>
              </c:numCache>
            </c:numRef>
          </c:xVal>
          <c:yVal>
            <c:numRef>
              <c:f>'Envolvente '!$R$3:$R$10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C-4F0D-B471-A1CA18F060FF}"/>
            </c:ext>
          </c:extLst>
        </c:ser>
        <c:ser>
          <c:idx val="2"/>
          <c:order val="2"/>
          <c:tx>
            <c:v>Vstall(M)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'Envolvente '!$X$3:$X$10</c:f>
              <c:numCache>
                <c:formatCode>General</c:formatCode>
                <c:ptCount val="8"/>
                <c:pt idx="0">
                  <c:v>0.21484283531108289</c:v>
                </c:pt>
                <c:pt idx="1">
                  <c:v>0.23516580639567028</c:v>
                </c:pt>
                <c:pt idx="2">
                  <c:v>0.25822774213394506</c:v>
                </c:pt>
                <c:pt idx="3">
                  <c:v>0.28454596085636835</c:v>
                </c:pt>
                <c:pt idx="4">
                  <c:v>0.31471726427426244</c:v>
                </c:pt>
                <c:pt idx="5">
                  <c:v>0.34949307251643041</c:v>
                </c:pt>
                <c:pt idx="6">
                  <c:v>0.389799328225231</c:v>
                </c:pt>
                <c:pt idx="7">
                  <c:v>0.43682765449251154</c:v>
                </c:pt>
              </c:numCache>
            </c:numRef>
          </c:xVal>
          <c:yVal>
            <c:numRef>
              <c:f>'Envolvente '!$R$3:$R$10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0C-4F0D-B471-A1CA18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97103"/>
        <c:axId val="952594191"/>
      </c:scatterChart>
      <c:valAx>
        <c:axId val="9525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594191"/>
        <c:crosses val="autoZero"/>
        <c:crossBetween val="midCat"/>
      </c:valAx>
      <c:valAx>
        <c:axId val="9525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5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3804366602605E-2"/>
          <c:y val="1.2559425227878047E-2"/>
          <c:w val="0.83184388012540567"/>
          <c:h val="0.928434121750215"/>
        </c:manualLayout>
      </c:layout>
      <c:scatterChart>
        <c:scatterStyle val="smoothMarker"/>
        <c:varyColors val="0"/>
        <c:ser>
          <c:idx val="0"/>
          <c:order val="0"/>
          <c:tx>
            <c:v>H0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'ENecesario(W1)'!$J$7:$J$71</c:f>
              <c:numCache>
                <c:formatCode>General</c:formatCode>
                <c:ptCount val="65"/>
                <c:pt idx="0">
                  <c:v>2605283.0840445594</c:v>
                </c:pt>
                <c:pt idx="1">
                  <c:v>1668450.2988353951</c:v>
                </c:pt>
                <c:pt idx="2">
                  <c:v>1159996.1291341376</c:v>
                </c:pt>
                <c:pt idx="3">
                  <c:v>853875.51345820865</c:v>
                </c:pt>
                <c:pt idx="4">
                  <c:v>655666.80778706376</c:v>
                </c:pt>
                <c:pt idx="5">
                  <c:v>520262.04167797888</c:v>
                </c:pt>
                <c:pt idx="6">
                  <c:v>423903.25717122987</c:v>
                </c:pt>
                <c:pt idx="7">
                  <c:v>353111.50133669999</c:v>
                </c:pt>
                <c:pt idx="8">
                  <c:v>299777.61502936314</c:v>
                </c:pt>
                <c:pt idx="9">
                  <c:v>258785.63428257412</c:v>
                </c:pt>
                <c:pt idx="10">
                  <c:v>226778.61599081903</c:v>
                </c:pt>
                <c:pt idx="11">
                  <c:v>201479.79904068788</c:v>
                </c:pt>
                <c:pt idx="12">
                  <c:v>181300.84905046143</c:v>
                </c:pt>
                <c:pt idx="13">
                  <c:v>165106.37328893182</c:v>
                </c:pt>
                <c:pt idx="14">
                  <c:v>152067.32159760935</c:v>
                </c:pt>
                <c:pt idx="15">
                  <c:v>141566.89907402199</c:v>
                </c:pt>
                <c:pt idx="16">
                  <c:v>133138.5441423317</c:v>
                </c:pt>
                <c:pt idx="17">
                  <c:v>126424.06475761873</c:v>
                </c:pt>
                <c:pt idx="18">
                  <c:v>121144.7784520993</c:v>
                </c:pt>
                <c:pt idx="19">
                  <c:v>117081.2366943747</c:v>
                </c:pt>
                <c:pt idx="20">
                  <c:v>114058.73474065565</c:v>
                </c:pt>
                <c:pt idx="21">
                  <c:v>111936.7944230241</c:v>
                </c:pt>
                <c:pt idx="22">
                  <c:v>110601.42201633946</c:v>
                </c:pt>
                <c:pt idx="23">
                  <c:v>109959.33483086192</c:v>
                </c:pt>
                <c:pt idx="24">
                  <c:v>109933.60450277223</c:v>
                </c:pt>
                <c:pt idx="25">
                  <c:v>110460.33317836613</c:v>
                </c:pt>
                <c:pt idx="26">
                  <c:v>111486.09192160146</c:v>
                </c:pt>
                <c:pt idx="27">
                  <c:v>112965.92793281535</c:v>
                </c:pt>
                <c:pt idx="28">
                  <c:v>114861.80067739735</c:v>
                </c:pt>
                <c:pt idx="29">
                  <c:v>117141.34457619464</c:v>
                </c:pt>
                <c:pt idx="30">
                  <c:v>119776.88258735796</c:v>
                </c:pt>
                <c:pt idx="31">
                  <c:v>122744.63417876062</c:v>
                </c:pt>
                <c:pt idx="32">
                  <c:v>126024.07511186079</c:v>
                </c:pt>
                <c:pt idx="33">
                  <c:v>129597.41666995866</c:v>
                </c:pt>
                <c:pt idx="34">
                  <c:v>133449.17952528791</c:v>
                </c:pt>
                <c:pt idx="35">
                  <c:v>137565.84308786158</c:v>
                </c:pt>
                <c:pt idx="36">
                  <c:v>141935.55543367981</c:v>
                </c:pt>
                <c:pt idx="37">
                  <c:v>146547.89213999169</c:v>
                </c:pt>
                <c:pt idx="38">
                  <c:v>151393.6548258065</c:v>
                </c:pt>
                <c:pt idx="39">
                  <c:v>156464.70209873319</c:v>
                </c:pt>
                <c:pt idx="40">
                  <c:v>161753.80708472204</c:v>
                </c:pt>
                <c:pt idx="41">
                  <c:v>167254.53686865003</c:v>
                </c:pt>
                <c:pt idx="42">
                  <c:v>172961.15007757678</c:v>
                </c:pt>
                <c:pt idx="43">
                  <c:v>178868.5095521739</c:v>
                </c:pt>
                <c:pt idx="44">
                  <c:v>184972.00761842341</c:v>
                </c:pt>
                <c:pt idx="45">
                  <c:v>191267.50192385723</c:v>
                </c:pt>
                <c:pt idx="46">
                  <c:v>197751.26016528238</c:v>
                </c:pt>
                <c:pt idx="47">
                  <c:v>204419.91232721461</c:v>
                </c:pt>
                <c:pt idx="48">
                  <c:v>211270.40928686858</c:v>
                </c:pt>
                <c:pt idx="49">
                  <c:v>218299.9868339666</c:v>
                </c:pt>
                <c:pt idx="50">
                  <c:v>225506.13431074703</c:v>
                </c:pt>
                <c:pt idx="51">
                  <c:v>233043.26246555737</c:v>
                </c:pt>
                <c:pt idx="52">
                  <c:v>245716.71625654039</c:v>
                </c:pt>
                <c:pt idx="53">
                  <c:v>271291.55638140818</c:v>
                </c:pt>
                <c:pt idx="54">
                  <c:v>316402.25592596544</c:v>
                </c:pt>
                <c:pt idx="55">
                  <c:v>387566.48905142985</c:v>
                </c:pt>
                <c:pt idx="56">
                  <c:v>491460.44015721389</c:v>
                </c:pt>
                <c:pt idx="57">
                  <c:v>635031.36906643154</c:v>
                </c:pt>
                <c:pt idx="58">
                  <c:v>825558.64833713474</c:v>
                </c:pt>
                <c:pt idx="59">
                  <c:v>1070692.5094239709</c:v>
                </c:pt>
                <c:pt idx="60">
                  <c:v>1378481.433455704</c:v>
                </c:pt>
                <c:pt idx="61">
                  <c:v>1757393.1124121386</c:v>
                </c:pt>
                <c:pt idx="62">
                  <c:v>2216331.4835030865</c:v>
                </c:pt>
                <c:pt idx="63">
                  <c:v>2764651.2225583997</c:v>
                </c:pt>
                <c:pt idx="64">
                  <c:v>3412170.5152875851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0-4293-9D77-9F8A862B4A21}"/>
            </c:ext>
          </c:extLst>
        </c:ser>
        <c:ser>
          <c:idx val="1"/>
          <c:order val="1"/>
          <c:tx>
            <c:v>H1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'ENecesario(W1)'!$R$7:$R$71</c:f>
              <c:numCache>
                <c:formatCode>General</c:formatCode>
                <c:ptCount val="65"/>
                <c:pt idx="0">
                  <c:v>3015508.8203136292</c:v>
                </c:pt>
                <c:pt idx="1">
                  <c:v>1930849.2234640471</c:v>
                </c:pt>
                <c:pt idx="2">
                  <c:v>1342033.8087306605</c:v>
                </c:pt>
                <c:pt idx="3">
                  <c:v>987395.10924326256</c:v>
                </c:pt>
                <c:pt idx="4">
                  <c:v>757631.58907566033</c:v>
                </c:pt>
                <c:pt idx="5">
                  <c:v>600526.71987731778</c:v>
                </c:pt>
                <c:pt idx="6">
                  <c:v>488578.53086171969</c:v>
                </c:pt>
                <c:pt idx="7">
                  <c:v>406183.92304429336</c:v>
                </c:pt>
                <c:pt idx="8">
                  <c:v>343955.81617648457</c:v>
                </c:pt>
                <c:pt idx="9">
                  <c:v>295972.02234155143</c:v>
                </c:pt>
                <c:pt idx="10">
                  <c:v>258346.57830240321</c:v>
                </c:pt>
                <c:pt idx="11">
                  <c:v>228443.92852286846</c:v>
                </c:pt>
                <c:pt idx="12">
                  <c:v>204425.43325792742</c:v>
                </c:pt>
                <c:pt idx="13">
                  <c:v>184976.77341593782</c:v>
                </c:pt>
                <c:pt idx="14">
                  <c:v>169138.24895542316</c:v>
                </c:pt>
                <c:pt idx="15">
                  <c:v>156195.86436305658</c:v>
                </c:pt>
                <c:pt idx="16">
                  <c:v>145609.53269826167</c:v>
                </c:pt>
                <c:pt idx="17">
                  <c:v>136964.61448857005</c:v>
                </c:pt>
                <c:pt idx="18">
                  <c:v>129938.50974029973</c:v>
                </c:pt>
                <c:pt idx="19">
                  <c:v>124277.18706279412</c:v>
                </c:pt>
                <c:pt idx="20">
                  <c:v>119778.41001939884</c:v>
                </c:pt>
                <c:pt idx="21">
                  <c:v>116279.56250999389</c:v>
                </c:pt>
                <c:pt idx="22">
                  <c:v>113648.68655637352</c:v>
                </c:pt>
                <c:pt idx="23">
                  <c:v>111777.79906451669</c:v>
                </c:pt>
                <c:pt idx="24">
                  <c:v>110577.84854195104</c:v>
                </c:pt>
                <c:pt idx="25">
                  <c:v>109974.86748234129</c:v>
                </c:pt>
                <c:pt idx="26">
                  <c:v>109907.00709208852</c:v>
                </c:pt>
                <c:pt idx="27">
                  <c:v>110322.23046696059</c:v>
                </c:pt>
                <c:pt idx="28">
                  <c:v>111176.50227053111</c:v>
                </c:pt>
                <c:pt idx="29">
                  <c:v>112432.35643716187</c:v>
                </c:pt>
                <c:pt idx="30">
                  <c:v>114057.75430436819</c:v>
                </c:pt>
                <c:pt idx="31">
                  <c:v>116025.16776973727</c:v>
                </c:pt>
                <c:pt idx="32">
                  <c:v>118310.83818323062</c:v>
                </c:pt>
                <c:pt idx="33">
                  <c:v>120894.17350710511</c:v>
                </c:pt>
                <c:pt idx="34">
                  <c:v>123757.25502878675</c:v>
                </c:pt>
                <c:pt idx="35">
                  <c:v>126884.43145065688</c:v>
                </c:pt>
                <c:pt idx="36">
                  <c:v>130261.9831058924</c:v>
                </c:pt>
                <c:pt idx="37">
                  <c:v>133877.84278861436</c:v>
                </c:pt>
                <c:pt idx="38">
                  <c:v>137721.36254643049</c:v>
                </c:pt>
                <c:pt idx="39">
                  <c:v>141783.11798621426</c:v>
                </c:pt>
                <c:pt idx="40">
                  <c:v>146054.74335198058</c:v>
                </c:pt>
                <c:pt idx="41">
                  <c:v>150528.79196653244</c:v>
                </c:pt>
                <c:pt idx="42">
                  <c:v>155198.61767487845</c:v>
                </c:pt>
                <c:pt idx="43">
                  <c:v>160058.27375356638</c:v>
                </c:pt>
                <c:pt idx="44">
                  <c:v>165102.42640596055</c:v>
                </c:pt>
                <c:pt idx="45">
                  <c:v>170326.28048692446</c:v>
                </c:pt>
                <c:pt idx="46">
                  <c:v>175725.51552019687</c:v>
                </c:pt>
                <c:pt idx="47">
                  <c:v>181296.23041008788</c:v>
                </c:pt>
                <c:pt idx="48">
                  <c:v>187034.89552303596</c:v>
                </c:pt>
                <c:pt idx="49">
                  <c:v>192938.31103730426</c:v>
                </c:pt>
                <c:pt idx="50">
                  <c:v>199082.67084276085</c:v>
                </c:pt>
                <c:pt idx="51">
                  <c:v>209253.45106573941</c:v>
                </c:pt>
                <c:pt idx="52">
                  <c:v>230305.54566542327</c:v>
                </c:pt>
                <c:pt idx="53">
                  <c:v>268086.2979370667</c:v>
                </c:pt>
                <c:pt idx="54">
                  <c:v>328323.05020719668</c:v>
                </c:pt>
                <c:pt idx="55">
                  <c:v>416882.7240013408</c:v>
                </c:pt>
                <c:pt idx="56">
                  <c:v>539874.90566762071</c:v>
                </c:pt>
                <c:pt idx="57">
                  <c:v>703707.08233806049</c:v>
                </c:pt>
                <c:pt idx="58">
                  <c:v>915119.4945935487</c:v>
                </c:pt>
                <c:pt idx="59">
                  <c:v>1181209.7034879387</c:v>
                </c:pt>
                <c:pt idx="60">
                  <c:v>1509451.3718376569</c:v>
                </c:pt>
                <c:pt idx="61">
                  <c:v>1907709.5290562385</c:v>
                </c:pt>
                <c:pt idx="62">
                  <c:v>2384253.568914528</c:v>
                </c:pt>
                <c:pt idx="63">
                  <c:v>2947768.7151532089</c:v>
                </c:pt>
                <c:pt idx="64">
                  <c:v>3607366.4103389806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0-4293-9D77-9F8A862B4A21}"/>
            </c:ext>
          </c:extLst>
        </c:ser>
        <c:ser>
          <c:idx val="2"/>
          <c:order val="2"/>
          <c:tx>
            <c:v>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'ENecesario(W1)'!$Z$7:$Z$71</c:f>
              <c:numCache>
                <c:formatCode>General</c:formatCode>
                <c:ptCount val="65"/>
                <c:pt idx="0">
                  <c:v>3508657.3140609735</c:v>
                </c:pt>
                <c:pt idx="1">
                  <c:v>2246334.3798348103</c:v>
                </c:pt>
                <c:pt idx="2">
                  <c:v>1560956.7112275267</c:v>
                </c:pt>
                <c:pt idx="3">
                  <c:v>1148037.9891756589</c:v>
                </c:pt>
                <c:pt idx="4">
                  <c:v>880390.74654690048</c:v>
                </c:pt>
                <c:pt idx="5">
                  <c:v>697253.82452430716</c:v>
                </c:pt>
                <c:pt idx="6">
                  <c:v>566624.87313316681</c:v>
                </c:pt>
                <c:pt idx="7">
                  <c:v>470347.5268435154</c:v>
                </c:pt>
                <c:pt idx="8">
                  <c:v>397498.61837811023</c:v>
                </c:pt>
                <c:pt idx="9">
                  <c:v>341186.86231603444</c:v>
                </c:pt>
                <c:pt idx="10">
                  <c:v>296890.4025158647</c:v>
                </c:pt>
                <c:pt idx="11">
                  <c:v>261542.40528407934</c:v>
                </c:pt>
                <c:pt idx="12">
                  <c:v>233003.35876335364</c:v>
                </c:pt>
                <c:pt idx="13">
                  <c:v>209743.87075573613</c:v>
                </c:pt>
                <c:pt idx="14">
                  <c:v>190647.19741634099</c:v>
                </c:pt>
                <c:pt idx="15">
                  <c:v>174882.5061304718</c:v>
                </c:pt>
                <c:pt idx="16">
                  <c:v>161821.33098114873</c:v>
                </c:pt>
                <c:pt idx="17">
                  <c:v>150981.18154562131</c:v>
                </c:pt>
                <c:pt idx="18">
                  <c:v>141986.66807528585</c:v>
                </c:pt>
                <c:pt idx="19">
                  <c:v>134542.18988277856</c:v>
                </c:pt>
                <c:pt idx="20">
                  <c:v>128412.41687944168</c:v>
                </c:pt>
                <c:pt idx="21">
                  <c:v>123408.12272262652</c:v>
                </c:pt>
                <c:pt idx="22">
                  <c:v>119375.75603838699</c:v>
                </c:pt>
                <c:pt idx="23">
                  <c:v>116189.66354925295</c:v>
                </c:pt>
                <c:pt idx="24">
                  <c:v>113746.22151676595</c:v>
                </c:pt>
                <c:pt idx="25">
                  <c:v>111959.35850834151</c:v>
                </c:pt>
                <c:pt idx="26">
                  <c:v>110757.10489119815</c:v>
                </c:pt>
                <c:pt idx="27">
                  <c:v>110078.90852404524</c:v>
                </c:pt>
                <c:pt idx="28">
                  <c:v>109873.5281973524</c:v>
                </c:pt>
                <c:pt idx="29">
                  <c:v>110097.36695750349</c:v>
                </c:pt>
                <c:pt idx="30">
                  <c:v>110713.14338574084</c:v>
                </c:pt>
                <c:pt idx="31">
                  <c:v>111688.82472432521</c:v>
                </c:pt>
                <c:pt idx="32">
                  <c:v>112996.76449514202</c:v>
                </c:pt>
                <c:pt idx="33">
                  <c:v>114613.00101182102</c:v>
                </c:pt>
                <c:pt idx="34">
                  <c:v>116516.68337188181</c:v>
                </c:pt>
                <c:pt idx="35">
                  <c:v>118689.59912401183</c:v>
                </c:pt>
                <c:pt idx="36">
                  <c:v>121115.78353671529</c:v>
                </c:pt>
                <c:pt idx="37">
                  <c:v>123781.19474554727</c:v>
                </c:pt>
                <c:pt idx="38">
                  <c:v>126673.44238395481</c:v>
                </c:pt>
                <c:pt idx="39">
                  <c:v>129781.55986596213</c:v>
                </c:pt>
                <c:pt idx="40">
                  <c:v>133095.8124764495</c:v>
                </c:pt>
                <c:pt idx="41">
                  <c:v>136607.53497569074</c:v>
                </c:pt>
                <c:pt idx="42">
                  <c:v>140308.99364235831</c:v>
                </c:pt>
                <c:pt idx="43">
                  <c:v>144193.26864053946</c:v>
                </c:pt>
                <c:pt idx="44">
                  <c:v>148254.1533595169</c:v>
                </c:pt>
                <c:pt idx="45">
                  <c:v>152486.06798415558</c:v>
                </c:pt>
                <c:pt idx="46">
                  <c:v>156883.98504226306</c:v>
                </c:pt>
                <c:pt idx="47">
                  <c:v>161443.36506899426</c:v>
                </c:pt>
                <c:pt idx="48">
                  <c:v>166160.10084711024</c:v>
                </c:pt>
                <c:pt idx="49">
                  <c:v>171071.89439156803</c:v>
                </c:pt>
                <c:pt idx="50">
                  <c:v>179194.56118575399</c:v>
                </c:pt>
                <c:pt idx="51">
                  <c:v>196526.08272460461</c:v>
                </c:pt>
                <c:pt idx="52">
                  <c:v>228191.7657740151</c:v>
                </c:pt>
                <c:pt idx="53">
                  <c:v>279202.0397761747</c:v>
                </c:pt>
                <c:pt idx="54">
                  <c:v>354691.97988728515</c:v>
                </c:pt>
                <c:pt idx="55">
                  <c:v>460014.20041656535</c:v>
                </c:pt>
                <c:pt idx="56">
                  <c:v>600788.18928108481</c:v>
                </c:pt>
                <c:pt idx="57">
                  <c:v>782931.31450680422</c:v>
                </c:pt>
                <c:pt idx="58">
                  <c:v>1012680.6518769707</c:v>
                </c:pt>
                <c:pt idx="59">
                  <c:v>1296609.6764165461</c:v>
                </c:pt>
                <c:pt idx="60">
                  <c:v>1641641.8442219994</c:v>
                </c:pt>
                <c:pt idx="61">
                  <c:v>2055062.1752780459</c:v>
                </c:pt>
                <c:pt idx="62">
                  <c:v>2544527.4882061365</c:v>
                </c:pt>
                <c:pt idx="63">
                  <c:v>3118075.6890936708</c:v>
                </c:pt>
                <c:pt idx="64">
                  <c:v>3784134.3736773315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0-4293-9D77-9F8A862B4A21}"/>
            </c:ext>
          </c:extLst>
        </c:ser>
        <c:ser>
          <c:idx val="3"/>
          <c:order val="3"/>
          <c:tx>
            <c:v>H3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'ENecesario(W1)'!$AH$7:$AH$71</c:f>
              <c:numCache>
                <c:formatCode>General</c:formatCode>
                <c:ptCount val="65"/>
                <c:pt idx="0">
                  <c:v>4105450.4118906246</c:v>
                </c:pt>
                <c:pt idx="1">
                  <c:v>2628166.5407232759</c:v>
                </c:pt>
                <c:pt idx="2">
                  <c:v>1825972.179821396</c:v>
                </c:pt>
                <c:pt idx="3">
                  <c:v>1342566.884685674</c:v>
                </c:pt>
                <c:pt idx="4">
                  <c:v>1029119.8270103632</c:v>
                </c:pt>
                <c:pt idx="5">
                  <c:v>814530.18373924738</c:v>
                </c:pt>
                <c:pt idx="6">
                  <c:v>661349.79773973639</c:v>
                </c:pt>
                <c:pt idx="7">
                  <c:v>548332.65333297756</c:v>
                </c:pt>
                <c:pt idx="8">
                  <c:v>462696.79904019018</c:v>
                </c:pt>
                <c:pt idx="9">
                  <c:v>396378.26644993108</c:v>
                </c:pt>
                <c:pt idx="10">
                  <c:v>344085.71978689678</c:v>
                </c:pt>
                <c:pt idx="11">
                  <c:v>302230.44540520542</c:v>
                </c:pt>
                <c:pt idx="12">
                  <c:v>268308.85290341964</c:v>
                </c:pt>
                <c:pt idx="13">
                  <c:v>240531.29497777903</c:v>
                </c:pt>
                <c:pt idx="14">
                  <c:v>217590.99262570456</c:v>
                </c:pt>
                <c:pt idx="15">
                  <c:v>198515.73129637056</c:v>
                </c:pt>
                <c:pt idx="16">
                  <c:v>182570.0996706041</c:v>
                </c:pt>
                <c:pt idx="17">
                  <c:v>169189.50242398636</c:v>
                </c:pt>
                <c:pt idx="18">
                  <c:v>157934.67011840508</c:v>
                </c:pt>
                <c:pt idx="19">
                  <c:v>148459.69999991701</c:v>
                </c:pt>
                <c:pt idx="20">
                  <c:v>140489.2160994123</c:v>
                </c:pt>
                <c:pt idx="21">
                  <c:v>133801.79162108584</c:v>
                </c:pt>
                <c:pt idx="22">
                  <c:v>128217.74551076503</c:v>
                </c:pt>
                <c:pt idx="23">
                  <c:v>123590.04220129162</c:v>
                </c:pt>
                <c:pt idx="24">
                  <c:v>119797.42440863737</c:v>
                </c:pt>
                <c:pt idx="25">
                  <c:v>116739.17401258282</c:v>
                </c:pt>
                <c:pt idx="26">
                  <c:v>114331.07438155881</c:v>
                </c:pt>
                <c:pt idx="27">
                  <c:v>112502.2692783339</c:v>
                </c:pt>
                <c:pt idx="28">
                  <c:v>111192.79782917006</c:v>
                </c:pt>
                <c:pt idx="29">
                  <c:v>110351.64423145246</c:v>
                </c:pt>
                <c:pt idx="30">
                  <c:v>109935.182925531</c:v>
                </c:pt>
                <c:pt idx="31">
                  <c:v>109905.93017205046</c:v>
                </c:pt>
                <c:pt idx="32">
                  <c:v>110231.53491999688</c:v>
                </c:pt>
                <c:pt idx="33">
                  <c:v>110883.95794734241</c:v>
                </c:pt>
                <c:pt idx="34">
                  <c:v>111838.80017486126</c:v>
                </c:pt>
                <c:pt idx="35">
                  <c:v>113074.74995703177</c:v>
                </c:pt>
                <c:pt idx="36">
                  <c:v>114573.12586033094</c:v>
                </c:pt>
                <c:pt idx="37">
                  <c:v>116317.49653060551</c:v>
                </c:pt>
                <c:pt idx="38">
                  <c:v>118293.36314530119</c:v>
                </c:pt>
                <c:pt idx="39">
                  <c:v>120487.89294572515</c:v>
                </c:pt>
                <c:pt idx="40">
                  <c:v>122889.69467024396</c:v>
                </c:pt>
                <c:pt idx="41">
                  <c:v>125488.62852415159</c:v>
                </c:pt>
                <c:pt idx="42">
                  <c:v>128275.64474667345</c:v>
                </c:pt>
                <c:pt idx="43">
                  <c:v>131242.64596049822</c:v>
                </c:pt>
                <c:pt idx="44">
                  <c:v>134382.36938231214</c:v>
                </c:pt>
                <c:pt idx="45">
                  <c:v>137688.28568554652</c:v>
                </c:pt>
                <c:pt idx="46">
                  <c:v>141154.51187820884</c:v>
                </c:pt>
                <c:pt idx="47">
                  <c:v>144775.73601936505</c:v>
                </c:pt>
                <c:pt idx="48">
                  <c:v>148571.2265136558</c:v>
                </c:pt>
                <c:pt idx="49">
                  <c:v>154991.23165969312</c:v>
                </c:pt>
                <c:pt idx="50">
                  <c:v>169242.66275722397</c:v>
                </c:pt>
                <c:pt idx="51">
                  <c:v>195790.15263183194</c:v>
                </c:pt>
                <c:pt idx="52">
                  <c:v>238995.85992811903</c:v>
                </c:pt>
                <c:pt idx="53">
                  <c:v>303335.00897987263</c:v>
                </c:pt>
                <c:pt idx="54">
                  <c:v>393478.12145561673</c:v>
                </c:pt>
                <c:pt idx="55">
                  <c:v>514334.45593670994</c:v>
                </c:pt>
                <c:pt idx="56">
                  <c:v>671079.26705801545</c:v>
                </c:pt>
                <c:pt idx="57">
                  <c:v>869173.00482109748</c:v>
                </c:pt>
                <c:pt idx="58">
                  <c:v>1114376.0208078849</c:v>
                </c:pt>
                <c:pt idx="59">
                  <c:v>1412760.5615379165</c:v>
                </c:pt>
                <c:pt idx="60">
                  <c:v>1770721.0214079986</c:v>
                </c:pt>
                <c:pt idx="61">
                  <c:v>2194983.0236307406</c:v>
                </c:pt>
                <c:pt idx="62">
                  <c:v>2692611.6795516643</c:v>
                </c:pt>
                <c:pt idx="63">
                  <c:v>3271019.2518143174</c:v>
                </c:pt>
                <c:pt idx="64">
                  <c:v>3937972.3717387561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B0-4293-9D77-9F8A862B4A21}"/>
            </c:ext>
          </c:extLst>
        </c:ser>
        <c:ser>
          <c:idx val="4"/>
          <c:order val="4"/>
          <c:tx>
            <c:v>H4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'ENecesario(W1)'!$AP$7:$AP$71</c:f>
              <c:numCache>
                <c:formatCode>General</c:formatCode>
                <c:ptCount val="65"/>
                <c:pt idx="0">
                  <c:v>4832865.1122842235</c:v>
                </c:pt>
                <c:pt idx="1">
                  <c:v>3093609.8299225378</c:v>
                </c:pt>
                <c:pt idx="2">
                  <c:v>2149067.7305406951</c:v>
                </c:pt>
                <c:pt idx="3">
                  <c:v>1579787.1853839753</c:v>
                </c:pt>
                <c:pt idx="4">
                  <c:v>1210558.3840086006</c:v>
                </c:pt>
                <c:pt idx="5">
                  <c:v>957678.49500598235</c:v>
                </c:pt>
                <c:pt idx="6">
                  <c:v>777061.99800804828</c:v>
                </c:pt>
                <c:pt idx="7">
                  <c:v>643697.20409152017</c:v>
                </c:pt>
                <c:pt idx="8">
                  <c:v>542536.67099464952</c:v>
                </c:pt>
                <c:pt idx="9">
                  <c:v>464087.16137623868</c:v>
                </c:pt>
                <c:pt idx="10">
                  <c:v>402119.49577972479</c:v>
                </c:pt>
                <c:pt idx="11">
                  <c:v>352408.89198229974</c:v>
                </c:pt>
                <c:pt idx="12">
                  <c:v>312008.01975232939</c:v>
                </c:pt>
                <c:pt idx="13">
                  <c:v>278810.0322192919</c:v>
                </c:pt>
                <c:pt idx="14">
                  <c:v>251276.53506031612</c:v>
                </c:pt>
                <c:pt idx="15">
                  <c:v>228262.99707108122</c:v>
                </c:pt>
                <c:pt idx="16">
                  <c:v>208903.66161166714</c:v>
                </c:pt>
                <c:pt idx="17">
                  <c:v>192533.86370039661</c:v>
                </c:pt>
                <c:pt idx="18">
                  <c:v>178636.47717556264</c:v>
                </c:pt>
                <c:pt idx="19">
                  <c:v>166804.29100004156</c:v>
                </c:pt>
                <c:pt idx="20">
                  <c:v>156713.12118656564</c:v>
                </c:pt>
                <c:pt idx="21">
                  <c:v>148102.29494736757</c:v>
                </c:pt>
                <c:pt idx="22">
                  <c:v>140760.28430937667</c:v>
                </c:pt>
                <c:pt idx="23">
                  <c:v>134513.99291786904</c:v>
                </c:pt>
                <c:pt idx="24">
                  <c:v>129220.67167985508</c:v>
                </c:pt>
                <c:pt idx="25">
                  <c:v>124761.75105599426</c:v>
                </c:pt>
                <c:pt idx="26">
                  <c:v>121038.08774229878</c:v>
                </c:pt>
                <c:pt idx="27">
                  <c:v>117966.26684391535</c:v>
                </c:pt>
                <c:pt idx="28">
                  <c:v>115475.69993879925</c:v>
                </c:pt>
                <c:pt idx="29">
                  <c:v>113506.32911282397</c:v>
                </c:pt>
                <c:pt idx="30">
                  <c:v>112006.79655172605</c:v>
                </c:pt>
                <c:pt idx="31">
                  <c:v>110932.97484627237</c:v>
                </c:pt>
                <c:pt idx="32">
                  <c:v>110246.77900036138</c:v>
                </c:pt>
                <c:pt idx="33">
                  <c:v>109915.20008141897</c:v>
                </c:pt>
                <c:pt idx="34">
                  <c:v>109909.514483625</c:v>
                </c:pt>
                <c:pt idx="35">
                  <c:v>110204.63325588907</c:v>
                </c:pt>
                <c:pt idx="36">
                  <c:v>110778.56384153695</c:v>
                </c:pt>
                <c:pt idx="37">
                  <c:v>111611.96257044809</c:v>
                </c:pt>
                <c:pt idx="38">
                  <c:v>112687.76082867789</c:v>
                </c:pt>
                <c:pt idx="39">
                  <c:v>113990.85136160957</c:v>
                </c:pt>
                <c:pt idx="40">
                  <c:v>115507.82390462105</c:v>
                </c:pt>
                <c:pt idx="41">
                  <c:v>117226.74147174909</c:v>
                </c:pt>
                <c:pt idx="42">
                  <c:v>119136.95031008555</c:v>
                </c:pt>
                <c:pt idx="43">
                  <c:v>121228.91785194975</c:v>
                </c:pt>
                <c:pt idx="44">
                  <c:v>123494.09404825445</c:v>
                </c:pt>
                <c:pt idx="45">
                  <c:v>125924.79230554684</c:v>
                </c:pt>
                <c:pt idx="46">
                  <c:v>128514.08692218589</c:v>
                </c:pt>
                <c:pt idx="47">
                  <c:v>131272.617545196</c:v>
                </c:pt>
                <c:pt idx="48">
                  <c:v>136244.85505955943</c:v>
                </c:pt>
                <c:pt idx="49">
                  <c:v>147918.95764722928</c:v>
                </c:pt>
                <c:pt idx="50">
                  <c:v>170157.37635186181</c:v>
                </c:pt>
                <c:pt idx="51">
                  <c:v>206738.18671289057</c:v>
                </c:pt>
                <c:pt idx="52">
                  <c:v>261543.61295086856</c:v>
                </c:pt>
                <c:pt idx="53">
                  <c:v>338631.42214954429</c:v>
                </c:pt>
                <c:pt idx="54">
                  <c:v>442272.5898098817</c:v>
                </c:pt>
                <c:pt idx="55">
                  <c:v>576974.96192459285</c:v>
                </c:pt>
                <c:pt idx="56">
                  <c:v>747499.96236453264</c:v>
                </c:pt>
                <c:pt idx="57">
                  <c:v>958875.43147452851</c:v>
                </c:pt>
                <c:pt idx="58">
                  <c:v>1216406.1323641718</c:v>
                </c:pt>
                <c:pt idx="59">
                  <c:v>1525682.7625271725</c:v>
                </c:pt>
                <c:pt idx="60">
                  <c:v>1892589.9595964141</c:v>
                </c:pt>
                <c:pt idx="61">
                  <c:v>2323313.6021120669</c:v>
                </c:pt>
                <c:pt idx="62">
                  <c:v>2824347.5986773674</c:v>
                </c:pt>
                <c:pt idx="63">
                  <c:v>3402500.294324765</c:v>
                </c:pt>
                <c:pt idx="64">
                  <c:v>4064900.5825645695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B0-4293-9D77-9F8A862B4A21}"/>
            </c:ext>
          </c:extLst>
        </c:ser>
        <c:ser>
          <c:idx val="5"/>
          <c:order val="5"/>
          <c:tx>
            <c:v>H5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'ENecesario(W1)'!$AX$7:$AX$71</c:f>
              <c:numCache>
                <c:formatCode>General</c:formatCode>
                <c:ptCount val="65"/>
                <c:pt idx="0">
                  <c:v>5726373.9214871936</c:v>
                </c:pt>
                <c:pt idx="1">
                  <c:v>3665365.5495038875</c:v>
                </c:pt>
                <c:pt idx="2">
                  <c:v>2546006.7649815241</c:v>
                </c:pt>
                <c:pt idx="3">
                  <c:v>1871278.4823386914</c:v>
                </c:pt>
                <c:pt idx="4">
                  <c:v>1433570.0647298619</c:v>
                </c:pt>
                <c:pt idx="5">
                  <c:v>1133699.861935246</c:v>
                </c:pt>
                <c:pt idx="6">
                  <c:v>919429.8004354462</c:v>
                </c:pt>
                <c:pt idx="7">
                  <c:v>761122.88300529623</c:v>
                </c:pt>
                <c:pt idx="8">
                  <c:v>640949.00605102396</c:v>
                </c:pt>
                <c:pt idx="9">
                  <c:v>547659.38706929912</c:v>
                </c:pt>
                <c:pt idx="10">
                  <c:v>473872.91018124239</c:v>
                </c:pt>
                <c:pt idx="11">
                  <c:v>414583.52164140798</c:v>
                </c:pt>
                <c:pt idx="12">
                  <c:v>366298.85361471964</c:v>
                </c:pt>
                <c:pt idx="13">
                  <c:v>326522.44874289882</c:v>
                </c:pt>
                <c:pt idx="14">
                  <c:v>293431.42379650817</c:v>
                </c:pt>
                <c:pt idx="15">
                  <c:v>265669.59414400917</c:v>
                </c:pt>
                <c:pt idx="16">
                  <c:v>242211.10234675862</c:v>
                </c:pt>
                <c:pt idx="17">
                  <c:v>222268.36967394539</c:v>
                </c:pt>
                <c:pt idx="18">
                  <c:v>205228.63995917953</c:v>
                </c:pt>
                <c:pt idx="19">
                  <c:v>190609.3983105513</c:v>
                </c:pt>
                <c:pt idx="20">
                  <c:v>178026.51073532779</c:v>
                </c:pt>
                <c:pt idx="21">
                  <c:v>167171.09930401621</c:v>
                </c:pt>
                <c:pt idx="22">
                  <c:v>157792.51904937087</c:v>
                </c:pt>
                <c:pt idx="23">
                  <c:v>149685.66362290087</c:v>
                </c:pt>
                <c:pt idx="24">
                  <c:v>142681.38593158888</c:v>
                </c:pt>
                <c:pt idx="25">
                  <c:v>136639.18986103003</c:v>
                </c:pt>
                <c:pt idx="26">
                  <c:v>131441.59794562042</c:v>
                </c:pt>
                <c:pt idx="27">
                  <c:v>126989.76971861316</c:v>
                </c:pt>
                <c:pt idx="28">
                  <c:v>123200.06313269644</c:v>
                </c:pt>
                <c:pt idx="29">
                  <c:v>120001.31401180141</c:v>
                </c:pt>
                <c:pt idx="30">
                  <c:v>117332.66715324727</c:v>
                </c:pt>
                <c:pt idx="31">
                  <c:v>115141.83484831471</c:v>
                </c:pt>
                <c:pt idx="32">
                  <c:v>113383.6891999136</c:v>
                </c:pt>
                <c:pt idx="33">
                  <c:v>112019.11706993854</c:v>
                </c:pt>
                <c:pt idx="34">
                  <c:v>111014.08311481077</c:v>
                </c:pt>
                <c:pt idx="35">
                  <c:v>110338.85878736468</c:v>
                </c:pt>
                <c:pt idx="36">
                  <c:v>109967.38453827798</c:v>
                </c:pt>
                <c:pt idx="37">
                  <c:v>109876.73955242919</c:v>
                </c:pt>
                <c:pt idx="38">
                  <c:v>110046.69878761249</c:v>
                </c:pt>
                <c:pt idx="39">
                  <c:v>110459.36126702727</c:v>
                </c:pt>
                <c:pt idx="40">
                  <c:v>111098.83682121674</c:v>
                </c:pt>
                <c:pt idx="41">
                  <c:v>111950.98100671866</c:v>
                </c:pt>
                <c:pt idx="42">
                  <c:v>113003.16991611339</c:v>
                </c:pt>
                <c:pt idx="43">
                  <c:v>114244.10816336097</c:v>
                </c:pt>
                <c:pt idx="44">
                  <c:v>115663.66457411913</c:v>
                </c:pt>
                <c:pt idx="45">
                  <c:v>117252.73110496359</c:v>
                </c:pt>
                <c:pt idx="46">
                  <c:v>119018.35675413112</c:v>
                </c:pt>
                <c:pt idx="47">
                  <c:v>122720.27646753771</c:v>
                </c:pt>
                <c:pt idx="48">
                  <c:v>132200.51485213407</c:v>
                </c:pt>
                <c:pt idx="49">
                  <c:v>150775.68199743953</c:v>
                </c:pt>
                <c:pt idx="50">
                  <c:v>181699.74835791116</c:v>
                </c:pt>
                <c:pt idx="51">
                  <c:v>228323.87873374487</c:v>
                </c:pt>
                <c:pt idx="52">
                  <c:v>294157.1357186634</c:v>
                </c:pt>
                <c:pt idx="53">
                  <c:v>382898.60618684581</c:v>
                </c:pt>
                <c:pt idx="54">
                  <c:v>498457.66506238148</c:v>
                </c:pt>
                <c:pt idx="55">
                  <c:v>644968.34985498502</c:v>
                </c:pt>
                <c:pt idx="56">
                  <c:v>826800.46035660175</c:v>
                </c:pt>
                <c:pt idx="57">
                  <c:v>1048568.6846277232</c:v>
                </c:pt>
                <c:pt idx="58">
                  <c:v>1315140.4602165292</c:v>
                </c:pt>
                <c:pt idx="59">
                  <c:v>1631642.9840808809</c:v>
                </c:pt>
                <c:pt idx="60">
                  <c:v>2003469.6255694947</c:v>
                </c:pt>
                <c:pt idx="61">
                  <c:v>2436285.9058455853</c:v>
                </c:pt>
                <c:pt idx="62">
                  <c:v>2936035.1525390656</c:v>
                </c:pt>
                <c:pt idx="63">
                  <c:v>3508943.9043044965</c:v>
                </c:pt>
                <c:pt idx="64">
                  <c:v>4161527.1179185649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B0-4293-9D77-9F8A862B4A21}"/>
            </c:ext>
          </c:extLst>
        </c:ser>
        <c:ser>
          <c:idx val="6"/>
          <c:order val="6"/>
          <c:tx>
            <c:v>H6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'ENecesario(W1)'!$BF$7:$BF$71</c:f>
              <c:numCache>
                <c:formatCode>General</c:formatCode>
                <c:ptCount val="65"/>
                <c:pt idx="0">
                  <c:v>6833125.0982983643</c:v>
                </c:pt>
                <c:pt idx="1">
                  <c:v>4373607.5359612983</c:v>
                </c:pt>
                <c:pt idx="2">
                  <c:v>3037742.0114169293</c:v>
                </c:pt>
                <c:pt idx="3">
                  <c:v>2232433.0138088735</c:v>
                </c:pt>
                <c:pt idx="4">
                  <c:v>1709937.6690881844</c:v>
                </c:pt>
                <c:pt idx="5">
                  <c:v>1351901.9880194725</c:v>
                </c:pt>
                <c:pt idx="6">
                  <c:v>1095990.0004178139</c:v>
                </c:pt>
                <c:pt idx="7">
                  <c:v>906835.72030915541</c:v>
                </c:pt>
                <c:pt idx="8">
                  <c:v>763162.39050981705</c:v>
                </c:pt>
                <c:pt idx="9">
                  <c:v>651546.77919858834</c:v>
                </c:pt>
                <c:pt idx="10">
                  <c:v>563180.96165009751</c:v>
                </c:pt>
                <c:pt idx="11">
                  <c:v>492091.18737937819</c:v>
                </c:pt>
                <c:pt idx="12">
                  <c:v>434109.99532641878</c:v>
                </c:pt>
                <c:pt idx="13">
                  <c:v>386258.34968516539</c:v>
                </c:pt>
                <c:pt idx="14">
                  <c:v>346360.9942299336</c:v>
                </c:pt>
                <c:pt idx="15">
                  <c:v>312799.58664713422</c:v>
                </c:pt>
                <c:pt idx="16">
                  <c:v>284349.96581441083</c:v>
                </c:pt>
                <c:pt idx="17">
                  <c:v>260072.3098552179</c:v>
                </c:pt>
                <c:pt idx="18">
                  <c:v>239235.41358633721</c:v>
                </c:pt>
                <c:pt idx="19">
                  <c:v>221263.48942814677</c:v>
                </c:pt>
                <c:pt idx="20">
                  <c:v>205698.14824979281</c:v>
                </c:pt>
                <c:pt idx="21">
                  <c:v>192170.80437982091</c:v>
                </c:pt>
                <c:pt idx="22">
                  <c:v>180382.36184947495</c:v>
                </c:pt>
                <c:pt idx="23">
                  <c:v>170088.06616528169</c:v>
                </c:pt>
                <c:pt idx="24">
                  <c:v>161086.07320404073</c:v>
                </c:pt>
                <c:pt idx="25">
                  <c:v>153208.72820728584</c:v>
                </c:pt>
                <c:pt idx="26">
                  <c:v>146315.84469224856</c:v>
                </c:pt>
                <c:pt idx="27">
                  <c:v>140289.47580574112</c:v>
                </c:pt>
                <c:pt idx="28">
                  <c:v>135029.81104909547</c:v>
                </c:pt>
                <c:pt idx="29">
                  <c:v>130451.92983357636</c:v>
                </c:pt>
                <c:pt idx="30">
                  <c:v>126483.21332306802</c:v>
                </c:pt>
                <c:pt idx="31">
                  <c:v>123061.26631743817</c:v>
                </c:pt>
                <c:pt idx="32">
                  <c:v>120132.23745774514</c:v>
                </c:pt>
                <c:pt idx="33">
                  <c:v>117649.45282884401</c:v>
                </c:pt>
                <c:pt idx="34">
                  <c:v>115572.29787472951</c:v>
                </c:pt>
                <c:pt idx="35">
                  <c:v>113865.29736239815</c:v>
                </c:pt>
                <c:pt idx="36">
                  <c:v>112497.35429343201</c:v>
                </c:pt>
                <c:pt idx="37">
                  <c:v>111441.11713758188</c:v>
                </c:pt>
                <c:pt idx="38">
                  <c:v>110672.4512447163</c:v>
                </c:pt>
                <c:pt idx="39">
                  <c:v>110169.995284278</c:v>
                </c:pt>
                <c:pt idx="40">
                  <c:v>109914.78743277778</c:v>
                </c:pt>
                <c:pt idx="41">
                  <c:v>109889.94905081445</c:v>
                </c:pt>
                <c:pt idx="42">
                  <c:v>110080.41596271096</c:v>
                </c:pt>
                <c:pt idx="43">
                  <c:v>110472.70932439865</c:v>
                </c:pt>
                <c:pt idx="44">
                  <c:v>111054.73955180241</c:v>
                </c:pt>
                <c:pt idx="45">
                  <c:v>111833.3470609014</c:v>
                </c:pt>
                <c:pt idx="46">
                  <c:v>114372.29884157187</c:v>
                </c:pt>
                <c:pt idx="47">
                  <c:v>121935.61961519269</c:v>
                </c:pt>
                <c:pt idx="48">
                  <c:v>137348.67266857449</c:v>
                </c:pt>
                <c:pt idx="49">
                  <c:v>163397.24676820368</c:v>
                </c:pt>
                <c:pt idx="50">
                  <c:v>202958.66829867091</c:v>
                </c:pt>
                <c:pt idx="51">
                  <c:v>259052.28151224687</c:v>
                </c:pt>
                <c:pt idx="52">
                  <c:v>334866.37637806969</c:v>
                </c:pt>
                <c:pt idx="53">
                  <c:v>433775.29508161807</c:v>
                </c:pt>
                <c:pt idx="54">
                  <c:v>559351.65135304665</c:v>
                </c:pt>
                <c:pt idx="55">
                  <c:v>715375.82829524647</c:v>
                </c:pt>
                <c:pt idx="56">
                  <c:v>905843.83427847456</c:v>
                </c:pt>
                <c:pt idx="57">
                  <c:v>1134974.1056832098</c:v>
                </c:pt>
                <c:pt idx="58">
                  <c:v>1407213.6000651915</c:v>
                </c:pt>
                <c:pt idx="59">
                  <c:v>1727243.3911586376</c:v>
                </c:pt>
                <c:pt idx="60">
                  <c:v>2099983.9015334579</c:v>
                </c:pt>
                <c:pt idx="61">
                  <c:v>2530599.8633387526</c:v>
                </c:pt>
                <c:pt idx="62">
                  <c:v>3024505.0692092348</c:v>
                </c:pt>
                <c:pt idx="63">
                  <c:v>3587366.9570868625</c:v>
                </c:pt>
                <c:pt idx="64">
                  <c:v>4225111.0605198266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B0-4293-9D77-9F8A862B4A21}"/>
            </c:ext>
          </c:extLst>
        </c:ser>
        <c:ser>
          <c:idx val="7"/>
          <c:order val="7"/>
          <c:tx>
            <c:v>H7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'ENecesario(W1)'!$BN$7:$BN$71</c:f>
              <c:numCache>
                <c:formatCode>General</c:formatCode>
                <c:ptCount val="65"/>
                <c:pt idx="0">
                  <c:v>8216520.1639181785</c:v>
                </c:pt>
                <c:pt idx="1">
                  <c:v>5258911.7659780392</c:v>
                </c:pt>
                <c:pt idx="2">
                  <c:v>3652449.972568762</c:v>
                </c:pt>
                <c:pt idx="3">
                  <c:v>2683950.3607473783</c:v>
                </c:pt>
                <c:pt idx="4">
                  <c:v>2055507.5250055774</c:v>
                </c:pt>
                <c:pt idx="5">
                  <c:v>1624803.3732809853</c:v>
                </c:pt>
                <c:pt idx="6">
                  <c:v>1316880.2602851856</c:v>
                </c:pt>
                <c:pt idx="7">
                  <c:v>1089211.3588258859</c:v>
                </c:pt>
                <c:pt idx="8">
                  <c:v>916211.83220076398</c:v>
                </c:pt>
                <c:pt idx="9">
                  <c:v>781740.53675722948</c:v>
                </c:pt>
                <c:pt idx="10">
                  <c:v>675206.13501656952</c:v>
                </c:pt>
                <c:pt idx="11">
                  <c:v>589425.32224212517</c:v>
                </c:pt>
                <c:pt idx="12">
                  <c:v>519386.81735552492</c:v>
                </c:pt>
                <c:pt idx="13">
                  <c:v>461508.39473985351</c:v>
                </c:pt>
                <c:pt idx="14">
                  <c:v>413174.35620203667</c:v>
                </c:pt>
                <c:pt idx="15">
                  <c:v>372438.68038815277</c:v>
                </c:pt>
                <c:pt idx="16">
                  <c:v>337829.34023400053</c:v>
                </c:pt>
                <c:pt idx="17">
                  <c:v>308216.22042016796</c:v>
                </c:pt>
                <c:pt idx="18">
                  <c:v>282720.06265334343</c:v>
                </c:pt>
                <c:pt idx="19">
                  <c:v>260648.49492059837</c:v>
                </c:pt>
                <c:pt idx="20">
                  <c:v>241450.31428448492</c:v>
                </c:pt>
                <c:pt idx="21">
                  <c:v>224682.30450986116</c:v>
                </c:pt>
                <c:pt idx="22">
                  <c:v>209984.80921427728</c:v>
                </c:pt>
                <c:pt idx="23">
                  <c:v>197063.51645472361</c:v>
                </c:pt>
                <c:pt idx="24">
                  <c:v>185675.7130730424</c:v>
                </c:pt>
                <c:pt idx="25">
                  <c:v>175619.79787687652</c:v>
                </c:pt>
                <c:pt idx="26">
                  <c:v>166727.19967661554</c:v>
                </c:pt>
                <c:pt idx="27">
                  <c:v>158856.08995241919</c:v>
                </c:pt>
                <c:pt idx="28">
                  <c:v>151886.44875540372</c:v>
                </c:pt>
                <c:pt idx="29">
                  <c:v>145716.16092879491</c:v>
                </c:pt>
                <c:pt idx="30">
                  <c:v>140257.90390517822</c:v>
                </c:pt>
                <c:pt idx="31">
                  <c:v>135436.64881654474</c:v>
                </c:pt>
                <c:pt idx="32">
                  <c:v>131187.64057767042</c:v>
                </c:pt>
                <c:pt idx="33">
                  <c:v>127454.75482303598</c:v>
                </c:pt>
                <c:pt idx="34">
                  <c:v>124189.15343439997</c:v>
                </c:pt>
                <c:pt idx="35">
                  <c:v>121348.17821739864</c:v>
                </c:pt>
                <c:pt idx="36">
                  <c:v>118894.4357093165</c:v>
                </c:pt>
                <c:pt idx="37">
                  <c:v>116795.03629126362</c:v>
                </c:pt>
                <c:pt idx="38">
                  <c:v>115020.95857256705</c:v>
                </c:pt>
                <c:pt idx="39">
                  <c:v>113546.51601888641</c:v>
                </c:pt>
                <c:pt idx="40">
                  <c:v>112348.90745082368</c:v>
                </c:pt>
                <c:pt idx="41">
                  <c:v>111407.83667243573</c:v>
                </c:pt>
                <c:pt idx="42">
                  <c:v>110705.18934085424</c:v>
                </c:pt>
                <c:pt idx="43">
                  <c:v>110224.75743991126</c:v>
                </c:pt>
                <c:pt idx="44">
                  <c:v>109976.75461418851</c:v>
                </c:pt>
                <c:pt idx="45">
                  <c:v>111390.94411538974</c:v>
                </c:pt>
                <c:pt idx="46">
                  <c:v>117214.49773388376</c:v>
                </c:pt>
                <c:pt idx="47">
                  <c:v>129834.33800064938</c:v>
                </c:pt>
                <c:pt idx="48">
                  <c:v>151620.00094596128</c:v>
                </c:pt>
                <c:pt idx="49">
                  <c:v>185027.61909157792</c:v>
                </c:pt>
                <c:pt idx="50">
                  <c:v>232640.93234188994</c:v>
                </c:pt>
                <c:pt idx="51">
                  <c:v>297193.44603333215</c:v>
                </c:pt>
                <c:pt idx="52">
                  <c:v>381582.65429266461</c:v>
                </c:pt>
                <c:pt idx="53">
                  <c:v>488880.29497574171</c:v>
                </c:pt>
                <c:pt idx="54">
                  <c:v>622340.38756844809</c:v>
                </c:pt>
                <c:pt idx="55">
                  <c:v>785405.93038215151</c:v>
                </c:pt>
                <c:pt idx="56">
                  <c:v>981714.73615978821</c:v>
                </c:pt>
                <c:pt idx="57">
                  <c:v>1215104.6861319861</c:v>
                </c:pt>
                <c:pt idx="58">
                  <c:v>1489618.5750329623</c:v>
                </c:pt>
                <c:pt idx="59">
                  <c:v>1809508.657979267</c:v>
                </c:pt>
                <c:pt idx="60">
                  <c:v>2179240.9730915311</c:v>
                </c:pt>
                <c:pt idx="61">
                  <c:v>2603499.4905906613</c:v>
                </c:pt>
                <c:pt idx="62">
                  <c:v>3087190.1241338435</c:v>
                </c:pt>
                <c:pt idx="63">
                  <c:v>3635444.6301970831</c:v>
                </c:pt>
                <c:pt idx="64">
                  <c:v>4253624.4145173207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B0-4293-9D77-9F8A862B4A21}"/>
            </c:ext>
          </c:extLst>
        </c:ser>
        <c:ser>
          <c:idx val="8"/>
          <c:order val="8"/>
          <c:tx>
            <c:v>E, h=0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EDisponible!$P$20:$P$84</c:f>
              <c:numCache>
                <c:formatCode>General</c:formatCode>
                <c:ptCount val="65"/>
                <c:pt idx="0">
                  <c:v>400275.57966900425</c:v>
                </c:pt>
                <c:pt idx="1">
                  <c:v>394107.52705885581</c:v>
                </c:pt>
                <c:pt idx="2">
                  <c:v>388581.86155327468</c:v>
                </c:pt>
                <c:pt idx="3">
                  <c:v>383549.3063924039</c:v>
                </c:pt>
                <c:pt idx="4">
                  <c:v>378912.14922960958</c:v>
                </c:pt>
                <c:pt idx="5">
                  <c:v>374602.13330298528</c:v>
                </c:pt>
                <c:pt idx="6">
                  <c:v>370569.21778295178</c:v>
                </c:pt>
                <c:pt idx="7">
                  <c:v>366775.31102186791</c:v>
                </c:pt>
                <c:pt idx="8">
                  <c:v>363190.52497582306</c:v>
                </c:pt>
                <c:pt idx="9">
                  <c:v>359790.81135436572</c:v>
                </c:pt>
                <c:pt idx="10">
                  <c:v>356556.40294251841</c:v>
                </c:pt>
                <c:pt idx="11">
                  <c:v>353470.74802251766</c:v>
                </c:pt>
                <c:pt idx="12">
                  <c:v>350519.7594518516</c:v>
                </c:pt>
                <c:pt idx="13">
                  <c:v>347691.27159981907</c:v>
                </c:pt>
                <c:pt idx="14">
                  <c:v>344974.63870980369</c:v>
                </c:pt>
                <c:pt idx="15">
                  <c:v>342360.43197293096</c:v>
                </c:pt>
                <c:pt idx="16">
                  <c:v>339840.20704926195</c:v>
                </c:pt>
                <c:pt idx="17">
                  <c:v>337406.32285816589</c:v>
                </c:pt>
                <c:pt idx="18">
                  <c:v>335051.79833197762</c:v>
                </c:pt>
                <c:pt idx="19">
                  <c:v>332770.19771687372</c:v>
                </c:pt>
                <c:pt idx="20">
                  <c:v>330555.53763834399</c:v>
                </c:pt>
                <c:pt idx="21">
                  <c:v>328402.21096683957</c:v>
                </c:pt>
                <c:pt idx="22">
                  <c:v>326304.92379693151</c:v>
                </c:pt>
                <c:pt idx="23">
                  <c:v>324258.64276581822</c:v>
                </c:pt>
                <c:pt idx="24">
                  <c:v>322258.55059830536</c:v>
                </c:pt>
                <c:pt idx="25">
                  <c:v>320300.00825106644</c:v>
                </c:pt>
                <c:pt idx="26">
                  <c:v>318378.52239014959</c:v>
                </c:pt>
                <c:pt idx="27">
                  <c:v>316489.71720728913</c:v>
                </c:pt>
                <c:pt idx="28">
                  <c:v>314629.30978701601</c:v>
                </c:pt>
                <c:pt idx="29">
                  <c:v>312793.08839496173</c:v>
                </c:pt>
                <c:pt idx="30">
                  <c:v>310976.89318043471</c:v>
                </c:pt>
                <c:pt idx="31">
                  <c:v>309176.59888214694</c:v>
                </c:pt>
                <c:pt idx="32">
                  <c:v>307388.09920137736</c:v>
                </c:pt>
                <c:pt idx="33">
                  <c:v>305607.29256665095</c:v>
                </c:pt>
                <c:pt idx="34">
                  <c:v>303830.06906174886</c:v>
                </c:pt>
                <c:pt idx="35">
                  <c:v>302052.29832722351</c:v>
                </c:pt>
                <c:pt idx="36">
                  <c:v>300269.81827660487</c:v>
                </c:pt>
                <c:pt idx="37">
                  <c:v>298478.42449369858</c:v>
                </c:pt>
                <c:pt idx="38">
                  <c:v>296673.86019798467</c:v>
                </c:pt>
                <c:pt idx="39">
                  <c:v>294851.80668205884</c:v>
                </c:pt>
                <c:pt idx="40">
                  <c:v>293007.87413903838</c:v>
                </c:pt>
                <c:pt idx="41">
                  <c:v>291137.59280943929</c:v>
                </c:pt>
                <c:pt idx="42">
                  <c:v>289236.40438668698</c:v>
                </c:pt>
                <c:pt idx="43">
                  <c:v>287299.65362848435</c:v>
                </c:pt>
                <c:pt idx="44">
                  <c:v>285322.58012803749</c:v>
                </c:pt>
                <c:pt idx="45">
                  <c:v>283300.31020483177</c:v>
                </c:pt>
                <c:pt idx="46">
                  <c:v>281227.84887947468</c:v>
                </c:pt>
                <c:pt idx="47">
                  <c:v>279100.07190119667</c:v>
                </c:pt>
                <c:pt idx="48">
                  <c:v>276911.71780007443</c:v>
                </c:pt>
                <c:pt idx="49">
                  <c:v>274657.37993899314</c:v>
                </c:pt>
                <c:pt idx="50">
                  <c:v>272331.49854289211</c:v>
                </c:pt>
                <c:pt idx="51">
                  <c:v>269928.35268500034</c:v>
                </c:pt>
                <c:pt idx="52">
                  <c:v>267442.05221162044</c:v>
                </c:pt>
                <c:pt idx="53">
                  <c:v>264866.52958861901</c:v>
                </c:pt>
                <c:pt idx="54">
                  <c:v>262195.53165415145</c:v>
                </c:pt>
                <c:pt idx="55">
                  <c:v>259422.61126333397</c:v>
                </c:pt>
                <c:pt idx="56">
                  <c:v>256541.1188115995</c:v>
                </c:pt>
                <c:pt idx="57">
                  <c:v>253544.19362435659</c:v>
                </c:pt>
                <c:pt idx="58">
                  <c:v>250424.75520133469</c:v>
                </c:pt>
                <c:pt idx="59">
                  <c:v>247175.49430466082</c:v>
                </c:pt>
                <c:pt idx="60">
                  <c:v>243788.86388028748</c:v>
                </c:pt>
                <c:pt idx="61">
                  <c:v>240257.0698028811</c:v>
                </c:pt>
                <c:pt idx="62">
                  <c:v>236572.06143471462</c:v>
                </c:pt>
                <c:pt idx="63">
                  <c:v>232725.52198947591</c:v>
                </c:pt>
                <c:pt idx="64">
                  <c:v>228708.8586922203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B0-4293-9D77-9F8A862B4A21}"/>
            </c:ext>
          </c:extLst>
        </c:ser>
        <c:ser>
          <c:idx val="9"/>
          <c:order val="9"/>
          <c:tx>
            <c:v>E,h1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EDisponible!$V$20:$V$84</c:f>
              <c:numCache>
                <c:formatCode>General</c:formatCode>
                <c:ptCount val="65"/>
                <c:pt idx="0">
                  <c:v>334236.46517328115</c:v>
                </c:pt>
                <c:pt idx="1">
                  <c:v>329339.72843682423</c:v>
                </c:pt>
                <c:pt idx="2">
                  <c:v>325045.46704388177</c:v>
                </c:pt>
                <c:pt idx="3">
                  <c:v>321226.93330681021</c:v>
                </c:pt>
                <c:pt idx="4">
                  <c:v>317800.95200322341</c:v>
                </c:pt>
                <c:pt idx="5">
                  <c:v>314709.30068997206</c:v>
                </c:pt>
                <c:pt idx="6">
                  <c:v>311909.24120599497</c:v>
                </c:pt>
                <c:pt idx="7">
                  <c:v>309368.23837693606</c:v>
                </c:pt>
                <c:pt idx="8">
                  <c:v>307060.80180438125</c:v>
                </c:pt>
                <c:pt idx="9">
                  <c:v>304966.49141260918</c:v>
                </c:pt>
                <c:pt idx="10">
                  <c:v>303068.60131779587</c:v>
                </c:pt>
                <c:pt idx="11">
                  <c:v>301353.2592546143</c:v>
                </c:pt>
                <c:pt idx="12">
                  <c:v>299808.79130058875</c:v>
                </c:pt>
                <c:pt idx="13">
                  <c:v>298425.26196016144</c:v>
                </c:pt>
                <c:pt idx="14">
                  <c:v>297194.13365650852</c:v>
                </c:pt>
                <c:pt idx="15">
                  <c:v>296108.00965019141</c:v>
                </c:pt>
                <c:pt idx="16">
                  <c:v>295160.4365717147</c:v>
                </c:pt>
                <c:pt idx="17">
                  <c:v>294345.7504059567</c:v>
                </c:pt>
                <c:pt idx="18">
                  <c:v>293658.95471207483</c:v>
                </c:pt>
                <c:pt idx="19">
                  <c:v>293095.62313872651</c:v>
                </c:pt>
                <c:pt idx="20">
                  <c:v>292651.82051278109</c:v>
                </c:pt>
                <c:pt idx="21">
                  <c:v>292324.03831155412</c:v>
                </c:pt>
                <c:pt idx="22">
                  <c:v>292109.14140531869</c:v>
                </c:pt>
                <c:pt idx="23">
                  <c:v>292004.32372599276</c:v>
                </c:pt>
                <c:pt idx="24">
                  <c:v>291595.62480559025</c:v>
                </c:pt>
                <c:pt idx="25">
                  <c:v>290027.42136903282</c:v>
                </c:pt>
                <c:pt idx="26">
                  <c:v>288499.48121639621</c:v>
                </c:pt>
                <c:pt idx="27">
                  <c:v>287008.0270815554</c:v>
                </c:pt>
                <c:pt idx="28">
                  <c:v>285549.36494093604</c:v>
                </c:pt>
                <c:pt idx="29">
                  <c:v>284119.86536267243</c:v>
                </c:pt>
                <c:pt idx="30">
                  <c:v>282715.94689293788</c:v>
                </c:pt>
                <c:pt idx="31">
                  <c:v>281334.0611324808</c:v>
                </c:pt>
                <c:pt idx="32">
                  <c:v>279970.6792199199</c:v>
                </c:pt>
                <c:pt idx="33">
                  <c:v>278622.27948873327</c:v>
                </c:pt>
                <c:pt idx="34">
                  <c:v>277285.33610509167</c:v>
                </c:pt>
                <c:pt idx="35">
                  <c:v>275956.30852601147</c:v>
                </c:pt>
                <c:pt idx="36">
                  <c:v>274631.63164343429</c:v>
                </c:pt>
                <c:pt idx="37">
                  <c:v>273307.7065010877</c:v>
                </c:pt>
                <c:pt idx="38">
                  <c:v>271980.89148835442</c:v>
                </c:pt>
                <c:pt idx="39">
                  <c:v>270647.49392964615</c:v>
                </c:pt>
                <c:pt idx="40">
                  <c:v>269303.76199956052</c:v>
                </c:pt>
                <c:pt idx="41">
                  <c:v>267945.87690387352</c:v>
                </c:pt>
                <c:pt idx="42">
                  <c:v>266569.94527454727</c:v>
                </c:pt>
                <c:pt idx="43">
                  <c:v>265171.99173374608</c:v>
                </c:pt>
                <c:pt idx="44">
                  <c:v>263747.9515875504</c:v>
                </c:pt>
                <c:pt idx="45">
                  <c:v>262293.66361487116</c:v>
                </c:pt>
                <c:pt idx="46">
                  <c:v>260804.86292112892</c:v>
                </c:pt>
                <c:pt idx="47">
                  <c:v>259277.17382969995</c:v>
                </c:pt>
                <c:pt idx="48">
                  <c:v>257706.10278705705</c:v>
                </c:pt>
                <c:pt idx="49">
                  <c:v>256087.03126003058</c:v>
                </c:pt>
                <c:pt idx="50">
                  <c:v>254415.20860573874</c:v>
                </c:pt>
                <c:pt idx="51">
                  <c:v>252685.74489656027</c:v>
                </c:pt>
                <c:pt idx="52">
                  <c:v>250893.60368409174</c:v>
                </c:pt>
                <c:pt idx="53">
                  <c:v>249033.59468736945</c:v>
                </c:pt>
                <c:pt idx="54">
                  <c:v>247100.3663917993</c:v>
                </c:pt>
                <c:pt idx="55">
                  <c:v>245088.39854622984</c:v>
                </c:pt>
                <c:pt idx="56">
                  <c:v>242991.99454647326</c:v>
                </c:pt>
                <c:pt idx="57">
                  <c:v>240805.27369431366</c:v>
                </c:pt>
                <c:pt idx="58">
                  <c:v>238522.16332169148</c:v>
                </c:pt>
                <c:pt idx="59">
                  <c:v>236136.39077031068</c:v>
                </c:pt>
                <c:pt idx="60">
                  <c:v>233641.47521738583</c:v>
                </c:pt>
                <c:pt idx="61">
                  <c:v>231030.71933867698</c:v>
                </c:pt>
                <c:pt idx="62">
                  <c:v>228297.20080030622</c:v>
                </c:pt>
                <c:pt idx="63">
                  <c:v>225433.76357116643</c:v>
                </c:pt>
                <c:pt idx="64">
                  <c:v>222433.00904799977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B0-4293-9D77-9F8A862B4A21}"/>
            </c:ext>
          </c:extLst>
        </c:ser>
        <c:ser>
          <c:idx val="10"/>
          <c:order val="10"/>
          <c:tx>
            <c:v>E,h2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EDisponible!$AB$20:$AB$84</c:f>
              <c:numCache>
                <c:formatCode>General</c:formatCode>
                <c:ptCount val="65"/>
                <c:pt idx="0">
                  <c:v>276862.60412427573</c:v>
                </c:pt>
                <c:pt idx="1">
                  <c:v>272775.07142245333</c:v>
                </c:pt>
                <c:pt idx="2">
                  <c:v>269193.45778318925</c:v>
                </c:pt>
                <c:pt idx="3">
                  <c:v>266011.64432018233</c:v>
                </c:pt>
                <c:pt idx="4">
                  <c:v>263159.97879810218</c:v>
                </c:pt>
                <c:pt idx="5">
                  <c:v>260589.69493708402</c:v>
                </c:pt>
                <c:pt idx="6">
                  <c:v>258264.98898923802</c:v>
                </c:pt>
                <c:pt idx="7">
                  <c:v>256158.60003845178</c:v>
                </c:pt>
                <c:pt idx="8">
                  <c:v>254249.16687711369</c:v>
                </c:pt>
                <c:pt idx="9">
                  <c:v>252519.55873164773</c:v>
                </c:pt>
                <c:pt idx="10">
                  <c:v>250955.77363614019</c:v>
                </c:pt>
                <c:pt idx="11">
                  <c:v>249546.18457401154</c:v>
                </c:pt>
                <c:pt idx="12">
                  <c:v>248281.00764869625</c:v>
                </c:pt>
                <c:pt idx="13">
                  <c:v>247151.91702030363</c:v>
                </c:pt>
                <c:pt idx="14">
                  <c:v>246151.75978462372</c:v>
                </c:pt>
                <c:pt idx="15">
                  <c:v>245274.34068283299</c:v>
                </c:pt>
                <c:pt idx="16">
                  <c:v>244514.25671274634</c:v>
                </c:pt>
                <c:pt idx="17">
                  <c:v>243866.76811507836</c:v>
                </c:pt>
                <c:pt idx="18">
                  <c:v>243327.6963469839</c:v>
                </c:pt>
                <c:pt idx="19">
                  <c:v>242893.34239698388</c:v>
                </c:pt>
                <c:pt idx="20">
                  <c:v>242560.42065191231</c:v>
                </c:pt>
                <c:pt idx="21">
                  <c:v>242326.00480857198</c:v>
                </c:pt>
                <c:pt idx="22">
                  <c:v>242187.48322394607</c:v>
                </c:pt>
                <c:pt idx="23">
                  <c:v>242142.52174157125</c:v>
                </c:pt>
                <c:pt idx="24">
                  <c:v>242189.03249833838</c:v>
                </c:pt>
                <c:pt idx="25">
                  <c:v>242325.14755887157</c:v>
                </c:pt>
                <c:pt idx="26">
                  <c:v>242549.19647972318</c:v>
                </c:pt>
                <c:pt idx="27">
                  <c:v>242859.68709754501</c:v>
                </c:pt>
                <c:pt idx="28">
                  <c:v>243255.28898137427</c:v>
                </c:pt>
                <c:pt idx="29">
                  <c:v>243734.81910126211</c:v>
                </c:pt>
                <c:pt idx="30">
                  <c:v>244297.22935235463</c:v>
                </c:pt>
                <c:pt idx="31">
                  <c:v>244941.59564145177</c:v>
                </c:pt>
                <c:pt idx="32">
                  <c:v>245667.10829658582</c:v>
                </c:pt>
                <c:pt idx="33">
                  <c:v>246473.06360264076</c:v>
                </c:pt>
                <c:pt idx="34">
                  <c:v>247358.85630000907</c:v>
                </c:pt>
                <c:pt idx="35">
                  <c:v>248323.97291061073</c:v>
                </c:pt>
                <c:pt idx="36">
                  <c:v>247853.48950802637</c:v>
                </c:pt>
                <c:pt idx="37">
                  <c:v>246913.9909916769</c:v>
                </c:pt>
                <c:pt idx="38">
                  <c:v>245979.33705203244</c:v>
                </c:pt>
                <c:pt idx="39">
                  <c:v>245046.39460820096</c:v>
                </c:pt>
                <c:pt idx="40">
                  <c:v>244111.981760155</c:v>
                </c:pt>
                <c:pt idx="41">
                  <c:v>243172.86091096228</c:v>
                </c:pt>
                <c:pt idx="42">
                  <c:v>242225.73206459556</c:v>
                </c:pt>
                <c:pt idx="43">
                  <c:v>241267.22626109983</c:v>
                </c:pt>
                <c:pt idx="44">
                  <c:v>240293.89911567181</c:v>
                </c:pt>
                <c:pt idx="45">
                  <c:v>239302.2244322428</c:v>
                </c:pt>
                <c:pt idx="46">
                  <c:v>238288.58786555473</c:v>
                </c:pt>
                <c:pt idx="47">
                  <c:v>237249.2806086106</c:v>
                </c:pt>
                <c:pt idx="48">
                  <c:v>236180.49308482822</c:v>
                </c:pt>
                <c:pt idx="49">
                  <c:v>235078.30862631954</c:v>
                </c:pt>
                <c:pt idx="50">
                  <c:v>233938.69712150196</c:v>
                </c:pt>
                <c:pt idx="51">
                  <c:v>232757.50861677658</c:v>
                </c:pt>
                <c:pt idx="52">
                  <c:v>231530.46685831877</c:v>
                </c:pt>
                <c:pt idx="53">
                  <c:v>230253.16276115685</c:v>
                </c:pt>
                <c:pt idx="54">
                  <c:v>228921.04779367952</c:v>
                </c:pt>
                <c:pt idx="55">
                  <c:v>227529.42726655334</c:v>
                </c:pt>
                <c:pt idx="56">
                  <c:v>226073.45351574896</c:v>
                </c:pt>
                <c:pt idx="57">
                  <c:v>224548.11897000103</c:v>
                </c:pt>
                <c:pt idx="58">
                  <c:v>222948.24909356178</c:v>
                </c:pt>
                <c:pt idx="59">
                  <c:v>221268.49519557614</c:v>
                </c:pt>
                <c:pt idx="60">
                  <c:v>219503.32709780298</c:v>
                </c:pt>
                <c:pt idx="61">
                  <c:v>217647.02565276122</c:v>
                </c:pt>
                <c:pt idx="62">
                  <c:v>215693.67510467014</c:v>
                </c:pt>
                <c:pt idx="63">
                  <c:v>213637.15528581769</c:v>
                </c:pt>
                <c:pt idx="64">
                  <c:v>211471.13364120925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B0-4293-9D77-9F8A862B4A21}"/>
            </c:ext>
          </c:extLst>
        </c:ser>
        <c:ser>
          <c:idx val="11"/>
          <c:order val="11"/>
          <c:tx>
            <c:v>E,h3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EDisponible!$AH$20:$AH$84</c:f>
              <c:numCache>
                <c:formatCode>General</c:formatCode>
                <c:ptCount val="65"/>
                <c:pt idx="0">
                  <c:v>227745.37994044076</c:v>
                </c:pt>
                <c:pt idx="1">
                  <c:v>224356.24323601104</c:v>
                </c:pt>
                <c:pt idx="2">
                  <c:v>221389.24380271847</c:v>
                </c:pt>
                <c:pt idx="3">
                  <c:v>218756.1133526059</c:v>
                </c:pt>
                <c:pt idx="4">
                  <c:v>216398.90358652564</c:v>
                </c:pt>
                <c:pt idx="5">
                  <c:v>214277.03395216566</c:v>
                </c:pt>
                <c:pt idx="6">
                  <c:v>212360.70461323031</c:v>
                </c:pt>
                <c:pt idx="7">
                  <c:v>210627.22200372737</c:v>
                </c:pt>
                <c:pt idx="8">
                  <c:v>209058.801259806</c:v>
                </c:pt>
                <c:pt idx="9">
                  <c:v>207641.17824193768</c:v>
                </c:pt>
                <c:pt idx="10">
                  <c:v>206362.69347671335</c:v>
                </c:pt>
                <c:pt idx="11">
                  <c:v>205213.66523017568</c:v>
                </c:pt>
                <c:pt idx="12">
                  <c:v>204185.9471823184</c:v>
                </c:pt>
                <c:pt idx="13">
                  <c:v>203272.60813285236</c:v>
                </c:pt>
                <c:pt idx="14">
                  <c:v>202467.69481032461</c:v>
                </c:pt>
                <c:pt idx="15">
                  <c:v>201766.05274977986</c:v>
                </c:pt>
                <c:pt idx="16">
                  <c:v>201163.18866932034</c:v>
                </c:pt>
                <c:pt idx="17">
                  <c:v>200655.16309880713</c:v>
                </c:pt>
                <c:pt idx="18">
                  <c:v>200238.5054548867</c:v>
                </c:pt>
                <c:pt idx="19">
                  <c:v>199910.14603609068</c:v>
                </c:pt>
                <c:pt idx="20">
                  <c:v>199667.36095533319</c:v>
                </c:pt>
                <c:pt idx="21">
                  <c:v>199507.72709308294</c:v>
                </c:pt>
                <c:pt idx="22">
                  <c:v>199429.08490379006</c:v>
                </c:pt>
                <c:pt idx="23">
                  <c:v>199429.50744342734</c:v>
                </c:pt>
                <c:pt idx="24">
                  <c:v>199507.27437404735</c:v>
                </c:pt>
                <c:pt idx="25">
                  <c:v>199660.84998639708</c:v>
                </c:pt>
                <c:pt idx="26">
                  <c:v>199888.86449374186</c:v>
                </c:pt>
                <c:pt idx="27">
                  <c:v>200190.09800967755</c:v>
                </c:pt>
                <c:pt idx="28">
                  <c:v>200563.46674410003</c:v>
                </c:pt>
                <c:pt idx="29">
                  <c:v>201008.01104473195</c:v>
                </c:pt>
                <c:pt idx="30">
                  <c:v>201522.88498386682</c:v>
                </c:pt>
                <c:pt idx="31">
                  <c:v>202107.34724648451</c:v>
                </c:pt>
                <c:pt idx="32">
                  <c:v>202760.75312040147</c:v>
                </c:pt>
                <c:pt idx="33">
                  <c:v>203482.54742446353</c:v>
                </c:pt>
                <c:pt idx="34">
                  <c:v>204272.25823904554</c:v>
                </c:pt>
                <c:pt idx="35">
                  <c:v>205129.49132586599</c:v>
                </c:pt>
                <c:pt idx="36">
                  <c:v>206053.92514254642</c:v>
                </c:pt>
                <c:pt idx="37">
                  <c:v>207045.30637235235</c:v>
                </c:pt>
                <c:pt idx="38">
                  <c:v>208103.44590185027</c:v>
                </c:pt>
                <c:pt idx="39">
                  <c:v>209228.21518934079</c:v>
                </c:pt>
                <c:pt idx="40">
                  <c:v>210419.54297531708</c:v>
                </c:pt>
                <c:pt idx="41">
                  <c:v>211677.41229316397</c:v>
                </c:pt>
                <c:pt idx="42">
                  <c:v>213001.85774414925</c:v>
                </c:pt>
                <c:pt idx="43">
                  <c:v>214392.96300564011</c:v>
                </c:pt>
                <c:pt idx="44">
                  <c:v>215850.85854560675</c:v>
                </c:pt>
                <c:pt idx="45">
                  <c:v>215361.26124199288</c:v>
                </c:pt>
                <c:pt idx="46">
                  <c:v>214728.19023571484</c:v>
                </c:pt>
                <c:pt idx="47">
                  <c:v>214079.90882189752</c:v>
                </c:pt>
                <c:pt idx="48">
                  <c:v>213413.21323244835</c:v>
                </c:pt>
                <c:pt idx="49">
                  <c:v>212724.80839919843</c:v>
                </c:pt>
                <c:pt idx="50">
                  <c:v>212011.30231877591</c:v>
                </c:pt>
                <c:pt idx="51">
                  <c:v>211269.20037138966</c:v>
                </c:pt>
                <c:pt idx="52">
                  <c:v>210494.89958143531</c:v>
                </c:pt>
                <c:pt idx="53">
                  <c:v>209684.68280877228</c:v>
                </c:pt>
                <c:pt idx="54">
                  <c:v>208834.71286032625</c:v>
                </c:pt>
                <c:pt idx="55">
                  <c:v>207941.02651237269</c:v>
                </c:pt>
                <c:pt idx="56">
                  <c:v>206999.5284344517</c:v>
                </c:pt>
                <c:pt idx="57">
                  <c:v>206005.985006387</c:v>
                </c:pt>
                <c:pt idx="58">
                  <c:v>204956.01802032415</c:v>
                </c:pt>
                <c:pt idx="59">
                  <c:v>203845.09826009371</c:v>
                </c:pt>
                <c:pt idx="60">
                  <c:v>202668.53895053599</c:v>
                </c:pt>
                <c:pt idx="61">
                  <c:v>201421.48906970941</c:v>
                </c:pt>
                <c:pt idx="62">
                  <c:v>200098.92651715546</c:v>
                </c:pt>
                <c:pt idx="63">
                  <c:v>198695.65113160346</c:v>
                </c:pt>
                <c:pt idx="64">
                  <c:v>197206.27755167973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B0-4293-9D77-9F8A862B4A21}"/>
            </c:ext>
          </c:extLst>
        </c:ser>
        <c:ser>
          <c:idx val="12"/>
          <c:order val="12"/>
          <c:tx>
            <c:v>E,h4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EDisponible!$AN$20:$AN$84</c:f>
              <c:numCache>
                <c:formatCode>General</c:formatCode>
                <c:ptCount val="65"/>
                <c:pt idx="0">
                  <c:v>185941.95939726426</c:v>
                </c:pt>
                <c:pt idx="1">
                  <c:v>183152.21965319422</c:v>
                </c:pt>
                <c:pt idx="2">
                  <c:v>180712.3015169237</c:v>
                </c:pt>
                <c:pt idx="3">
                  <c:v>178549.29974566438</c:v>
                </c:pt>
                <c:pt idx="4">
                  <c:v>176615.34097112293</c:v>
                </c:pt>
                <c:pt idx="5">
                  <c:v>174876.89246838962</c:v>
                </c:pt>
                <c:pt idx="6">
                  <c:v>173309.32473766958</c:v>
                </c:pt>
                <c:pt idx="7">
                  <c:v>171893.8781792557</c:v>
                </c:pt>
                <c:pt idx="8">
                  <c:v>170615.84884167369</c:v>
                </c:pt>
                <c:pt idx="9">
                  <c:v>169463.4424599034</c:v>
                </c:pt>
                <c:pt idx="10">
                  <c:v>168427.01806229542</c:v>
                </c:pt>
                <c:pt idx="11">
                  <c:v>167498.57026508707</c:v>
                </c:pt>
                <c:pt idx="12">
                  <c:v>166671.36396846198</c:v>
                </c:pt>
                <c:pt idx="13">
                  <c:v>165939.66980350338</c:v>
                </c:pt>
                <c:pt idx="14">
                  <c:v>165298.56819453879</c:v>
                </c:pt>
                <c:pt idx="15">
                  <c:v>164743.80136962674</c:v>
                </c:pt>
                <c:pt idx="16">
                  <c:v>164271.65963975716</c:v>
                </c:pt>
                <c:pt idx="17">
                  <c:v>163878.89266139604</c:v>
                </c:pt>
                <c:pt idx="18">
                  <c:v>163562.63923757305</c:v>
                </c:pt>
                <c:pt idx="19">
                  <c:v>163320.37109459948</c:v>
                </c:pt>
                <c:pt idx="20">
                  <c:v>163149.84734582761</c:v>
                </c:pt>
                <c:pt idx="21">
                  <c:v>163049.07723391466</c:v>
                </c:pt>
                <c:pt idx="22">
                  <c:v>163016.28936169163</c:v>
                </c:pt>
                <c:pt idx="23">
                  <c:v>163049.90606369174</c:v>
                </c:pt>
                <c:pt idx="24">
                  <c:v>163148.52189079809</c:v>
                </c:pt>
                <c:pt idx="25">
                  <c:v>163310.88541590347</c:v>
                </c:pt>
                <c:pt idx="26">
                  <c:v>163535.88374363829</c:v>
                </c:pt>
                <c:pt idx="27">
                  <c:v>163822.52923902863</c:v>
                </c:pt>
                <c:pt idx="28">
                  <c:v>164169.948090199</c:v>
                </c:pt>
                <c:pt idx="29">
                  <c:v>164577.3703972279</c:v>
                </c:pt>
                <c:pt idx="30">
                  <c:v>165044.12153894731</c:v>
                </c:pt>
                <c:pt idx="31">
                  <c:v>165569.61461612998</c:v>
                </c:pt>
                <c:pt idx="32">
                  <c:v>166153.343806283</c:v>
                </c:pt>
                <c:pt idx="33">
                  <c:v>166794.87849445411</c:v>
                </c:pt>
                <c:pt idx="34">
                  <c:v>167493.8580678023</c:v>
                </c:pt>
                <c:pt idx="35">
                  <c:v>168249.98728047282</c:v>
                </c:pt>
                <c:pt idx="36">
                  <c:v>169063.03211053752</c:v>
                </c:pt>
                <c:pt idx="37">
                  <c:v>169932.81604315824</c:v>
                </c:pt>
                <c:pt idx="38">
                  <c:v>170859.21672429668</c:v>
                </c:pt>
                <c:pt idx="39">
                  <c:v>171842.16293765546</c:v>
                </c:pt>
                <c:pt idx="40">
                  <c:v>172881.6318644727</c:v>
                </c:pt>
                <c:pt idx="41">
                  <c:v>173977.64659154764</c:v>
                </c:pt>
                <c:pt idx="42">
                  <c:v>175130.27383769734</c:v>
                </c:pt>
                <c:pt idx="43">
                  <c:v>176339.62187288346</c:v>
                </c:pt>
                <c:pt idx="44">
                  <c:v>177605.8386076529</c:v>
                </c:pt>
                <c:pt idx="45">
                  <c:v>178929.10983342474</c:v>
                </c:pt>
                <c:pt idx="46">
                  <c:v>180309.65759659346</c:v>
                </c:pt>
                <c:pt idx="47">
                  <c:v>181747.73869151494</c:v>
                </c:pt>
                <c:pt idx="48">
                  <c:v>183243.64325921735</c:v>
                </c:pt>
                <c:pt idx="49">
                  <c:v>184797.69348021675</c:v>
                </c:pt>
                <c:pt idx="50">
                  <c:v>186410.24235112834</c:v>
                </c:pt>
                <c:pt idx="51">
                  <c:v>188081.67253590858</c:v>
                </c:pt>
                <c:pt idx="52">
                  <c:v>188722.16304514927</c:v>
                </c:pt>
                <c:pt idx="53">
                  <c:v>188279.2078179649</c:v>
                </c:pt>
                <c:pt idx="54">
                  <c:v>187808.65781557065</c:v>
                </c:pt>
                <c:pt idx="55">
                  <c:v>187307.19423498659</c:v>
                </c:pt>
                <c:pt idx="56">
                  <c:v>186771.38472992275</c:v>
                </c:pt>
                <c:pt idx="57">
                  <c:v>186197.67792052004</c:v>
                </c:pt>
                <c:pt idx="58">
                  <c:v>185582.39779743165</c:v>
                </c:pt>
                <c:pt idx="59">
                  <c:v>184921.73801343027</c:v>
                </c:pt>
                <c:pt idx="60">
                  <c:v>184211.75605600036</c:v>
                </c:pt>
                <c:pt idx="61">
                  <c:v>183448.36729461217</c:v>
                </c:pt>
                <c:pt idx="62">
                  <c:v>182627.33889657291</c:v>
                </c:pt>
                <c:pt idx="63">
                  <c:v>181744.28360553074</c:v>
                </c:pt>
                <c:pt idx="64">
                  <c:v>180794.65337684896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B0-4293-9D77-9F8A862B4A21}"/>
            </c:ext>
          </c:extLst>
        </c:ser>
        <c:ser>
          <c:idx val="14"/>
          <c:order val="13"/>
          <c:tx>
            <c:v>E, h5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EDisponible!$AT$20:$AT$84</c:f>
              <c:numCache>
                <c:formatCode>General</c:formatCode>
                <c:ptCount val="65"/>
                <c:pt idx="0">
                  <c:v>150587.08192722261</c:v>
                </c:pt>
                <c:pt idx="1">
                  <c:v>148308.67613790097</c:v>
                </c:pt>
                <c:pt idx="2">
                  <c:v>146318.02622370634</c:v>
                </c:pt>
                <c:pt idx="3">
                  <c:v>144555.37205127068</c:v>
                </c:pt>
                <c:pt idx="4">
                  <c:v>142981.46249281822</c:v>
                </c:pt>
                <c:pt idx="5">
                  <c:v>141568.79772747718</c:v>
                </c:pt>
                <c:pt idx="6">
                  <c:v>140297.17496589827</c:v>
                </c:pt>
                <c:pt idx="7">
                  <c:v>139151.20343277784</c:v>
                </c:pt>
                <c:pt idx="8">
                  <c:v>138118.81795669219</c:v>
                </c:pt>
                <c:pt idx="9">
                  <c:v>137190.34001140355</c:v>
                </c:pt>
                <c:pt idx="10">
                  <c:v>136357.85789803416</c:v>
                </c:pt>
                <c:pt idx="11">
                  <c:v>135614.80247291495</c:v>
                </c:pt>
                <c:pt idx="12">
                  <c:v>134955.64773737919</c:v>
                </c:pt>
                <c:pt idx="13">
                  <c:v>134375.69397706931</c:v>
                </c:pt>
                <c:pt idx="14">
                  <c:v>133870.90712433326</c:v>
                </c:pt>
                <c:pt idx="15">
                  <c:v>133437.797411818</c:v>
                </c:pt>
                <c:pt idx="16">
                  <c:v>133073.32610977374</c:v>
                </c:pt>
                <c:pt idx="17">
                  <c:v>132774.8327392783</c:v>
                </c:pt>
                <c:pt idx="18">
                  <c:v>132539.97748070644</c:v>
                </c:pt>
                <c:pt idx="19">
                  <c:v>132366.69503853243</c:v>
                </c:pt>
                <c:pt idx="20">
                  <c:v>132253.15726760455</c:v>
                </c:pt>
                <c:pt idx="21">
                  <c:v>132197.74258706821</c:v>
                </c:pt>
                <c:pt idx="22">
                  <c:v>132199.01071500129</c:v>
                </c:pt>
                <c:pt idx="23">
                  <c:v>132255.6816189489</c:v>
                </c:pt>
                <c:pt idx="24">
                  <c:v>132366.61784009167</c:v>
                </c:pt>
                <c:pt idx="25">
                  <c:v>132530.80954170923</c:v>
                </c:pt>
                <c:pt idx="26">
                  <c:v>132747.36177613662</c:v>
                </c:pt>
                <c:pt idx="27">
                  <c:v>133015.48357244002</c:v>
                </c:pt>
                <c:pt idx="28">
                  <c:v>133334.4785291923</c:v>
                </c:pt>
                <c:pt idx="29">
                  <c:v>133703.73665983928</c:v>
                </c:pt>
                <c:pt idx="30">
                  <c:v>134122.7272870618</c:v>
                </c:pt>
                <c:pt idx="31">
                  <c:v>134590.9928207855</c:v>
                </c:pt>
                <c:pt idx="32">
                  <c:v>135108.14328463087</c:v>
                </c:pt>
                <c:pt idx="33">
                  <c:v>135673.85147952675</c:v>
                </c:pt>
                <c:pt idx="34">
                  <c:v>136287.84869234831</c:v>
                </c:pt>
                <c:pt idx="35">
                  <c:v>136949.92087284787</c:v>
                </c:pt>
                <c:pt idx="36">
                  <c:v>137659.90521462404</c:v>
                </c:pt>
                <c:pt idx="37">
                  <c:v>138417.68708604251</c:v>
                </c:pt>
                <c:pt idx="38">
                  <c:v>139223.19726535445</c:v>
                </c:pt>
                <c:pt idx="39">
                  <c:v>140076.4094411238</c:v>
                </c:pt>
                <c:pt idx="40">
                  <c:v>140977.33794475385</c:v>
                </c:pt>
                <c:pt idx="41">
                  <c:v>141926.03568663393</c:v>
                </c:pt>
                <c:pt idx="42">
                  <c:v>142922.59227137646</c:v>
                </c:pt>
                <c:pt idx="43">
                  <c:v>143967.1322709306</c:v>
                </c:pt>
                <c:pt idx="44">
                  <c:v>145059.81363715307</c:v>
                </c:pt>
                <c:pt idx="45">
                  <c:v>146200.82623778196</c:v>
                </c:pt>
                <c:pt idx="46">
                  <c:v>147390.39050176713</c:v>
                </c:pt>
                <c:pt idx="47">
                  <c:v>148628.75616162177</c:v>
                </c:pt>
                <c:pt idx="48">
                  <c:v>149916.20108192565</c:v>
                </c:pt>
                <c:pt idx="49">
                  <c:v>151253.03016436525</c:v>
                </c:pt>
                <c:pt idx="50">
                  <c:v>152639.57432077656</c:v>
                </c:pt>
                <c:pt idx="51">
                  <c:v>154076.18950659374</c:v>
                </c:pt>
                <c:pt idx="52">
                  <c:v>155563.25580790994</c:v>
                </c:pt>
                <c:pt idx="53">
                  <c:v>157101.17657606371</c:v>
                </c:pt>
                <c:pt idx="54">
                  <c:v>158690.37760427091</c:v>
                </c:pt>
                <c:pt idx="55">
                  <c:v>160331.30634135997</c:v>
                </c:pt>
                <c:pt idx="56">
                  <c:v>162024.43113812877</c:v>
                </c:pt>
                <c:pt idx="57">
                  <c:v>163770.24052225839</c:v>
                </c:pt>
                <c:pt idx="58">
                  <c:v>165569.24249807026</c:v>
                </c:pt>
                <c:pt idx="59">
                  <c:v>165359.44330506778</c:v>
                </c:pt>
                <c:pt idx="60">
                  <c:v>165011.45489078524</c:v>
                </c:pt>
                <c:pt idx="61">
                  <c:v>164624.04513171015</c:v>
                </c:pt>
                <c:pt idx="62">
                  <c:v>164193.67433160148</c:v>
                </c:pt>
                <c:pt idx="63">
                  <c:v>163716.66950262233</c:v>
                </c:pt>
                <c:pt idx="64">
                  <c:v>163189.218716159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B0-4293-9D77-9F8A862B4A21}"/>
            </c:ext>
          </c:extLst>
        </c:ser>
        <c:ser>
          <c:idx val="15"/>
          <c:order val="14"/>
          <c:tx>
            <c:v>E,h6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EDisponible!$AZ$20:$AZ$84</c:f>
              <c:numCache>
                <c:formatCode>General</c:formatCode>
                <c:ptCount val="65"/>
                <c:pt idx="0">
                  <c:v>120889.344086343</c:v>
                </c:pt>
                <c:pt idx="1">
                  <c:v>119044.30609208034</c:v>
                </c:pt>
                <c:pt idx="2">
                  <c:v>117434.08080146959</c:v>
                </c:pt>
                <c:pt idx="3">
                  <c:v>116010.08463198144</c:v>
                </c:pt>
                <c:pt idx="4">
                  <c:v>114740.39910660741</c:v>
                </c:pt>
                <c:pt idx="5">
                  <c:v>113602.65616168822</c:v>
                </c:pt>
                <c:pt idx="6">
                  <c:v>112580.41932494218</c:v>
                </c:pt>
                <c:pt idx="7">
                  <c:v>111661.16466033779</c:v>
                </c:pt>
                <c:pt idx="8">
                  <c:v>110835.07297981415</c:v>
                </c:pt>
                <c:pt idx="9">
                  <c:v>110094.26682110025</c:v>
                </c:pt>
                <c:pt idx="10">
                  <c:v>109432.30671677137</c:v>
                </c:pt>
                <c:pt idx="11">
                  <c:v>108843.84634558538</c:v>
                </c:pt>
                <c:pt idx="12">
                  <c:v>108324.38914076731</c:v>
                </c:pt>
                <c:pt idx="13">
                  <c:v>107870.11197835262</c:v>
                </c:pt>
                <c:pt idx="14">
                  <c:v>107477.73455580589</c:v>
                </c:pt>
                <c:pt idx="15">
                  <c:v>107144.42070347619</c:v>
                </c:pt>
                <c:pt idx="16">
                  <c:v>106867.70252222659</c:v>
                </c:pt>
                <c:pt idx="17">
                  <c:v>106645.42116521565</c:v>
                </c:pt>
                <c:pt idx="18">
                  <c:v>106475.6799725747</c:v>
                </c:pt>
                <c:pt idx="19">
                  <c:v>106356.80692044395</c:v>
                </c:pt>
                <c:pt idx="20">
                  <c:v>106287.32419416885</c:v>
                </c:pt>
                <c:pt idx="21">
                  <c:v>106265.92328136072</c:v>
                </c:pt>
                <c:pt idx="22">
                  <c:v>106291.44439242585</c:v>
                </c:pt>
                <c:pt idx="23">
                  <c:v>106362.85931044674</c:v>
                </c:pt>
                <c:pt idx="24">
                  <c:v>106479.25698566524</c:v>
                </c:pt>
                <c:pt idx="25">
                  <c:v>106639.83134660976</c:v>
                </c:pt>
                <c:pt idx="26">
                  <c:v>106843.87091657701</c:v>
                </c:pt>
                <c:pt idx="27">
                  <c:v>107090.7499119729</c:v>
                </c:pt>
                <c:pt idx="28">
                  <c:v>107379.92056580658</c:v>
                </c:pt>
                <c:pt idx="29">
                  <c:v>107710.90647092408</c:v>
                </c:pt>
                <c:pt idx="30">
                  <c:v>108083.29677733926</c:v>
                </c:pt>
                <c:pt idx="31">
                  <c:v>108496.7411091096</c:v>
                </c:pt>
                <c:pt idx="32">
                  <c:v>108950.94509071042</c:v>
                </c:pt>
                <c:pt idx="33">
                  <c:v>109445.66639231968</c:v>
                </c:pt>
                <c:pt idx="34">
                  <c:v>109980.71121898841</c:v>
                </c:pt>
                <c:pt idx="35">
                  <c:v>110555.93118119787</c:v>
                </c:pt>
                <c:pt idx="36">
                  <c:v>111171.22049445371</c:v>
                </c:pt>
                <c:pt idx="37">
                  <c:v>111826.51346383827</c:v>
                </c:pt>
                <c:pt idx="38">
                  <c:v>112521.78221621676</c:v>
                </c:pt>
                <c:pt idx="39">
                  <c:v>113257.03464838001</c:v>
                </c:pt>
                <c:pt idx="40">
                  <c:v>114032.31256402485</c:v>
                </c:pt>
                <c:pt idx="41">
                  <c:v>114847.68997632276</c:v>
                </c:pt>
                <c:pt idx="42">
                  <c:v>115703.27155604052</c:v>
                </c:pt>
                <c:pt idx="43">
                  <c:v>116599.19120787342</c:v>
                </c:pt>
                <c:pt idx="44">
                  <c:v>117535.61075992779</c:v>
                </c:pt>
                <c:pt idx="45">
                  <c:v>118512.71875321187</c:v>
                </c:pt>
                <c:pt idx="46">
                  <c:v>119530.72931963032</c:v>
                </c:pt>
                <c:pt idx="47">
                  <c:v>120589.88113836778</c:v>
                </c:pt>
                <c:pt idx="48">
                  <c:v>121690.43646174285</c:v>
                </c:pt>
                <c:pt idx="49">
                  <c:v>122832.68020263124</c:v>
                </c:pt>
                <c:pt idx="50">
                  <c:v>124016.91907644203</c:v>
                </c:pt>
                <c:pt idx="51">
                  <c:v>125243.48079138687</c:v>
                </c:pt>
                <c:pt idx="52">
                  <c:v>126512.71328144173</c:v>
                </c:pt>
                <c:pt idx="53">
                  <c:v>127824.98397697367</c:v>
                </c:pt>
                <c:pt idx="54">
                  <c:v>129180.67910849898</c:v>
                </c:pt>
                <c:pt idx="55">
                  <c:v>130580.20303947473</c:v>
                </c:pt>
                <c:pt idx="56">
                  <c:v>132023.97762440742</c:v>
                </c:pt>
                <c:pt idx="57">
                  <c:v>133512.44158889103</c:v>
                </c:pt>
                <c:pt idx="58">
                  <c:v>135046.04992848376</c:v>
                </c:pt>
                <c:pt idx="59">
                  <c:v>136625.27332358493</c:v>
                </c:pt>
                <c:pt idx="60">
                  <c:v>138250.59756770747</c:v>
                </c:pt>
                <c:pt idx="61">
                  <c:v>139922.52300673528</c:v>
                </c:pt>
                <c:pt idx="62">
                  <c:v>141641.56398693623</c:v>
                </c:pt>
                <c:pt idx="63">
                  <c:v>143408.24830966018</c:v>
                </c:pt>
                <c:pt idx="64">
                  <c:v>145161.89777336488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7B0-4293-9D77-9F8A862B4A21}"/>
            </c:ext>
          </c:extLst>
        </c:ser>
        <c:ser>
          <c:idx val="16"/>
          <c:order val="15"/>
          <c:tx>
            <c:v>E,h7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EDisponible!$BF$20:$BF$84</c:f>
              <c:numCache>
                <c:formatCode>General</c:formatCode>
                <c:ptCount val="65"/>
                <c:pt idx="0">
                  <c:v>96127.523830610546</c:v>
                </c:pt>
                <c:pt idx="1">
                  <c:v>94647.17889857688</c:v>
                </c:pt>
                <c:pt idx="2">
                  <c:v>93356.784181137176</c:v>
                </c:pt>
                <c:pt idx="3">
                  <c:v>92217.194016871043</c:v>
                </c:pt>
                <c:pt idx="4">
                  <c:v>91202.68339200347</c:v>
                </c:pt>
                <c:pt idx="5">
                  <c:v>90295.219788021801</c:v>
                </c:pt>
                <c:pt idx="6">
                  <c:v>89481.549433684137</c:v>
                </c:pt>
                <c:pt idx="7">
                  <c:v>88751.5715157331</c:v>
                </c:pt>
                <c:pt idx="8">
                  <c:v>88097.36555815232</c:v>
                </c:pt>
                <c:pt idx="9">
                  <c:v>87512.576907651601</c:v>
                </c:pt>
                <c:pt idx="10">
                  <c:v>86992.010999327948</c:v>
                </c:pt>
                <c:pt idx="11">
                  <c:v>86531.355560697208</c:v>
                </c:pt>
                <c:pt idx="12">
                  <c:v>86126.984517968202</c:v>
                </c:pt>
                <c:pt idx="13">
                  <c:v>85775.815924920462</c:v>
                </c:pt>
                <c:pt idx="14">
                  <c:v>85475.206691032101</c:v>
                </c:pt>
                <c:pt idx="15">
                  <c:v>85222.873030687013</c:v>
                </c:pt>
                <c:pt idx="16">
                  <c:v>85016.829299970108</c:v>
                </c:pt>
                <c:pt idx="17">
                  <c:v>84855.340242475781</c:v>
                </c:pt>
                <c:pt idx="18">
                  <c:v>84736.88318804992</c:v>
                </c:pt>
                <c:pt idx="19">
                  <c:v>84660.117757138243</c:v>
                </c:pt>
                <c:pt idx="20">
                  <c:v>84623.861306572406</c:v>
                </c:pt>
                <c:pt idx="21">
                  <c:v>84627.068824460483</c:v>
                </c:pt>
                <c:pt idx="22">
                  <c:v>84668.816313572737</c:v>
                </c:pt>
                <c:pt idx="23">
                  <c:v>84748.286939623998</c:v>
                </c:pt>
                <c:pt idx="24">
                  <c:v>84864.759392703956</c:v>
                </c:pt>
                <c:pt idx="25">
                  <c:v>85017.598036398427</c:v>
                </c:pt>
                <c:pt idx="26">
                  <c:v>85206.244513121346</c:v>
                </c:pt>
                <c:pt idx="27">
                  <c:v>85430.210544902046</c:v>
                </c:pt>
                <c:pt idx="28">
                  <c:v>85689.071722674431</c:v>
                </c:pt>
                <c:pt idx="29">
                  <c:v>85982.462118444513</c:v>
                </c:pt>
                <c:pt idx="30">
                  <c:v>86310.0695867498</c:v>
                </c:pt>
                <c:pt idx="31">
                  <c:v>86671.631646880065</c:v>
                </c:pt>
                <c:pt idx="32">
                  <c:v>87066.93185707365</c:v>
                </c:pt>
                <c:pt idx="33">
                  <c:v>87495.796607585813</c:v>
                </c:pt>
                <c:pt idx="34">
                  <c:v>87958.092272066919</c:v>
                </c:pt>
                <c:pt idx="35">
                  <c:v>88453.722666785528</c:v>
                </c:pt>
                <c:pt idx="36">
                  <c:v>88982.626775411714</c:v>
                </c:pt>
                <c:pt idx="37">
                  <c:v>89544.776703741794</c:v>
                </c:pt>
                <c:pt idx="38">
                  <c:v>90140.175834210604</c:v>
                </c:pt>
                <c:pt idx="39">
                  <c:v>90768.857154537283</c:v>
                </c:pt>
                <c:pt idx="40">
                  <c:v>91430.881738578595</c:v>
                </c:pt>
                <c:pt idx="41">
                  <c:v>92126.337360565711</c:v>
                </c:pt>
                <c:pt idx="42">
                  <c:v>92855.337226490956</c:v>
                </c:pt>
                <c:pt idx="43">
                  <c:v>93618.018808588953</c:v>
                </c:pt>
                <c:pt idx="44">
                  <c:v>94414.542770687869</c:v>
                </c:pt>
                <c:pt idx="45">
                  <c:v>95245.091973762086</c:v>
                </c:pt>
                <c:pt idx="46">
                  <c:v>96109.870552333101</c:v>
                </c:pt>
                <c:pt idx="47">
                  <c:v>97009.103053489351</c:v>
                </c:pt>
                <c:pt idx="48">
                  <c:v>97943.033631259706</c:v>
                </c:pt>
                <c:pt idx="49">
                  <c:v>98911.925289896302</c:v>
                </c:pt>
                <c:pt idx="50">
                  <c:v>99916.059170334993</c:v>
                </c:pt>
                <c:pt idx="51">
                  <c:v>100955.73387471512</c:v>
                </c:pt>
                <c:pt idx="52">
                  <c:v>102031.26482436834</c:v>
                </c:pt>
                <c:pt idx="53">
                  <c:v>103142.98364715031</c:v>
                </c:pt>
                <c:pt idx="54">
                  <c:v>104291.23759038826</c:v>
                </c:pt>
                <c:pt idx="55">
                  <c:v>105476.3889560674</c:v>
                </c:pt>
                <c:pt idx="56">
                  <c:v>106698.81455518684</c:v>
                </c:pt>
                <c:pt idx="57">
                  <c:v>107958.90517848244</c:v>
                </c:pt>
                <c:pt idx="58">
                  <c:v>109257.06508094979</c:v>
                </c:pt>
                <c:pt idx="59">
                  <c:v>110593.71147780943</c:v>
                </c:pt>
                <c:pt idx="60">
                  <c:v>111969.274049738</c:v>
                </c:pt>
                <c:pt idx="61">
                  <c:v>113384.19445535092</c:v>
                </c:pt>
                <c:pt idx="62">
                  <c:v>114838.92584906587</c:v>
                </c:pt>
                <c:pt idx="63">
                  <c:v>116333.93240260218</c:v>
                </c:pt>
                <c:pt idx="64">
                  <c:v>117869.68882848472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7B0-4293-9D77-9F8A862B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66400"/>
        <c:axId val="2134857152"/>
      </c:scatterChart>
      <c:valAx>
        <c:axId val="2134866400"/>
        <c:scaling>
          <c:orientation val="minMax"/>
          <c:max val="3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7152"/>
        <c:crosses val="autoZero"/>
        <c:crossBetween val="midCat"/>
        <c:majorUnit val="10"/>
      </c:valAx>
      <c:valAx>
        <c:axId val="2134857152"/>
        <c:scaling>
          <c:orientation val="minMax"/>
          <c:max val="4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baseline="0">
                    <a:solidFill>
                      <a:sysClr val="windowText" lastClr="000000"/>
                    </a:solidFill>
                  </a:rPr>
                  <a:t>T (N)</a:t>
                </a:r>
                <a:endParaRPr lang="es-E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8248185967543E-2"/>
          <c:y val="1.2539184952978056E-2"/>
          <c:w val="0.84271010136015501"/>
          <c:h val="0.92853026600515065"/>
        </c:manualLayout>
      </c:layout>
      <c:scatterChart>
        <c:scatterStyle val="smoothMarker"/>
        <c:varyColors val="0"/>
        <c:ser>
          <c:idx val="8"/>
          <c:order val="0"/>
          <c:tx>
            <c:v>H0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'ENecesario(W2)'!$J$7:$J$71</c:f>
              <c:numCache>
                <c:formatCode>General</c:formatCode>
                <c:ptCount val="65"/>
                <c:pt idx="0">
                  <c:v>2032562.5612052947</c:v>
                </c:pt>
                <c:pt idx="1">
                  <c:v>1301909.1642182663</c:v>
                </c:pt>
                <c:pt idx="2">
                  <c:v>905453.67453890946</c:v>
                </c:pt>
                <c:pt idx="3">
                  <c:v>666864.73049028555</c:v>
                </c:pt>
                <c:pt idx="4">
                  <c:v>512486.67707724753</c:v>
                </c:pt>
                <c:pt idx="5">
                  <c:v>407132.06185787724</c:v>
                </c:pt>
                <c:pt idx="6">
                  <c:v>332267.97351694759</c:v>
                </c:pt>
                <c:pt idx="7">
                  <c:v>277379.86195299565</c:v>
                </c:pt>
                <c:pt idx="8">
                  <c:v>236142.00138055609</c:v>
                </c:pt>
                <c:pt idx="9">
                  <c:v>204563.57294867933</c:v>
                </c:pt>
                <c:pt idx="10">
                  <c:v>180025.92024883826</c:v>
                </c:pt>
                <c:pt idx="11">
                  <c:v>160753.00630545136</c:v>
                </c:pt>
                <c:pt idx="12">
                  <c:v>145505.8163730074</c:v>
                </c:pt>
                <c:pt idx="13">
                  <c:v>133398.66268191376</c:v>
                </c:pt>
                <c:pt idx="14">
                  <c:v>123784.82664258392</c:v>
                </c:pt>
                <c:pt idx="15">
                  <c:v>116183.16398973325</c:v>
                </c:pt>
                <c:pt idx="16">
                  <c:v>110229.72322876111</c:v>
                </c:pt>
                <c:pt idx="17">
                  <c:v>105645.08887229396</c:v>
                </c:pt>
                <c:pt idx="18">
                  <c:v>102211.86860617322</c:v>
                </c:pt>
                <c:pt idx="19">
                  <c:v>99758.876835342162</c:v>
                </c:pt>
                <c:pt idx="20">
                  <c:v>98149.831328453904</c:v>
                </c:pt>
                <c:pt idx="21">
                  <c:v>97275.149038338932</c:v>
                </c:pt>
                <c:pt idx="22">
                  <c:v>97045.906682865767</c:v>
                </c:pt>
                <c:pt idx="23">
                  <c:v>97389.337073072849</c:v>
                </c:pt>
                <c:pt idx="24">
                  <c:v>98245.430567277042</c:v>
                </c:pt>
                <c:pt idx="25">
                  <c:v>99564.34225633493</c:v>
                </c:pt>
                <c:pt idx="26">
                  <c:v>101304.39373779233</c:v>
                </c:pt>
                <c:pt idx="27">
                  <c:v>103430.5186035456</c:v>
                </c:pt>
                <c:pt idx="28">
                  <c:v>105913.04250803385</c:v>
                </c:pt>
                <c:pt idx="29">
                  <c:v>108726.71797800525</c:v>
                </c:pt>
                <c:pt idx="30">
                  <c:v>111849.95493560343</c:v>
                </c:pt>
                <c:pt idx="31">
                  <c:v>115264.20286004369</c:v>
                </c:pt>
                <c:pt idx="32">
                  <c:v>118953.45137310446</c:v>
                </c:pt>
                <c:pt idx="33">
                  <c:v>122903.82399981387</c:v>
                </c:pt>
                <c:pt idx="34">
                  <c:v>127103.24575421574</c:v>
                </c:pt>
                <c:pt idx="35">
                  <c:v>131541.16960631768</c:v>
                </c:pt>
                <c:pt idx="36">
                  <c:v>136208.35020528713</c:v>
                </c:pt>
                <c:pt idx="37">
                  <c:v>141096.65575365725</c:v>
                </c:pt>
                <c:pt idx="38">
                  <c:v>146198.91085447528</c:v>
                </c:pt>
                <c:pt idx="39">
                  <c:v>151508.76463771198</c:v>
                </c:pt>
                <c:pt idx="40">
                  <c:v>157020.57962324051</c:v>
                </c:pt>
                <c:pt idx="41">
                  <c:v>162729.33767584598</c:v>
                </c:pt>
                <c:pt idx="42">
                  <c:v>168630.56011281867</c:v>
                </c:pt>
                <c:pt idx="43">
                  <c:v>174720.23958140513</c:v>
                </c:pt>
                <c:pt idx="44">
                  <c:v>180994.78176537296</c:v>
                </c:pt>
                <c:pt idx="45">
                  <c:v>187450.9553326751</c:v>
                </c:pt>
                <c:pt idx="46">
                  <c:v>194085.84881911107</c:v>
                </c:pt>
                <c:pt idx="47">
                  <c:v>200896.83337087926</c:v>
                </c:pt>
                <c:pt idx="48">
                  <c:v>207881.53045350013</c:v>
                </c:pt>
                <c:pt idx="49">
                  <c:v>215037.78378468633</c:v>
                </c:pt>
                <c:pt idx="50">
                  <c:v>222363.63487129976</c:v>
                </c:pt>
                <c:pt idx="51">
                  <c:v>230013.99689020921</c:v>
                </c:pt>
                <c:pt idx="52">
                  <c:v>242794.67277266658</c:v>
                </c:pt>
                <c:pt idx="53">
                  <c:v>268471.14137204271</c:v>
                </c:pt>
                <c:pt idx="54">
                  <c:v>313678.25819545763</c:v>
                </c:pt>
                <c:pt idx="55">
                  <c:v>384934.04769393831</c:v>
                </c:pt>
                <c:pt idx="56">
                  <c:v>488915.0156112616</c:v>
                </c:pt>
                <c:pt idx="57">
                  <c:v>632568.71699294914</c:v>
                </c:pt>
                <c:pt idx="58">
                  <c:v>823174.79600481736</c:v>
                </c:pt>
                <c:pt idx="59">
                  <c:v>1068383.7343256015</c:v>
                </c:pt>
                <c:pt idx="60">
                  <c:v>1376244.2439133632</c:v>
                </c:pt>
                <c:pt idx="61">
                  <c:v>1755224.2299587829</c:v>
                </c:pt>
                <c:pt idx="62">
                  <c:v>2214227.8268535393</c:v>
                </c:pt>
                <c:pt idx="63">
                  <c:v>2762609.8930049515</c:v>
                </c:pt>
                <c:pt idx="64">
                  <c:v>3410188.7833746467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B96-4299-8677-4B014ACF176C}"/>
            </c:ext>
          </c:extLst>
        </c:ser>
        <c:ser>
          <c:idx val="9"/>
          <c:order val="1"/>
          <c:tx>
            <c:v>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'ENecesario(W2)'!$R$7:$R$71</c:f>
              <c:numCache>
                <c:formatCode>General</c:formatCode>
                <c:ptCount val="65"/>
                <c:pt idx="0">
                  <c:v>2352533.3611152801</c:v>
                </c:pt>
                <c:pt idx="1">
                  <c:v>1506544.9295771036</c:v>
                </c:pt>
                <c:pt idx="2">
                  <c:v>1047378.0490869503</c:v>
                </c:pt>
                <c:pt idx="3">
                  <c:v>770913.32664788305</c:v>
                </c:pt>
                <c:pt idx="4">
                  <c:v>591887.72427607304</c:v>
                </c:pt>
                <c:pt idx="5">
                  <c:v>469568.60448011308</c:v>
                </c:pt>
                <c:pt idx="6">
                  <c:v>382502.45738998381</c:v>
                </c:pt>
                <c:pt idx="7">
                  <c:v>318517.74662137119</c:v>
                </c:pt>
                <c:pt idx="8">
                  <c:v>270291.87626555702</c:v>
                </c:pt>
                <c:pt idx="9">
                  <c:v>233205.11496182616</c:v>
                </c:pt>
                <c:pt idx="10">
                  <c:v>204226.13265355831</c:v>
                </c:pt>
                <c:pt idx="11">
                  <c:v>181299.00697987477</c:v>
                </c:pt>
                <c:pt idx="12">
                  <c:v>162989.4670580306</c:v>
                </c:pt>
                <c:pt idx="13">
                  <c:v>148272.24972329565</c:v>
                </c:pt>
                <c:pt idx="14">
                  <c:v>136398.72010612197</c:v>
                </c:pt>
                <c:pt idx="15">
                  <c:v>126811.91049276965</c:v>
                </c:pt>
                <c:pt idx="16">
                  <c:v>119090.5143303277</c:v>
                </c:pt>
                <c:pt idx="17">
                  <c:v>112911.08308908345</c:v>
                </c:pt>
                <c:pt idx="18">
                  <c:v>108021.96563456921</c:v>
                </c:pt>
                <c:pt idx="19">
                  <c:v>104224.9992609537</c:v>
                </c:pt>
                <c:pt idx="20">
                  <c:v>101362.42504166695</c:v>
                </c:pt>
                <c:pt idx="21">
                  <c:v>99307.390754516178</c:v>
                </c:pt>
                <c:pt idx="22">
                  <c:v>97956.959711442192</c:v>
                </c:pt>
                <c:pt idx="23">
                  <c:v>97226.89735371618</c:v>
                </c:pt>
                <c:pt idx="24">
                  <c:v>97047.737129739791</c:v>
                </c:pt>
                <c:pt idx="25">
                  <c:v>97361.779079043336</c:v>
                </c:pt>
                <c:pt idx="26">
                  <c:v>98120.776706340112</c:v>
                </c:pt>
                <c:pt idx="27">
                  <c:v>99284.137493835107</c:v>
                </c:pt>
                <c:pt idx="28">
                  <c:v>100817.51072055692</c:v>
                </c:pt>
                <c:pt idx="29">
                  <c:v>102691.67016794828</c:v>
                </c:pt>
                <c:pt idx="30">
                  <c:v>104881.62338120765</c:v>
                </c:pt>
                <c:pt idx="31">
                  <c:v>107365.89646592211</c:v>
                </c:pt>
                <c:pt idx="32">
                  <c:v>110125.95597090533</c:v>
                </c:pt>
                <c:pt idx="33">
                  <c:v>113145.73862969564</c:v>
                </c:pt>
                <c:pt idx="34">
                  <c:v>116411.26656121502</c:v>
                </c:pt>
                <c:pt idx="35">
                  <c:v>119910.3306306874</c:v>
                </c:pt>
                <c:pt idx="36">
                  <c:v>123632.22851390889</c:v>
                </c:pt>
                <c:pt idx="37">
                  <c:v>127567.54692473955</c:v>
                </c:pt>
                <c:pt idx="38">
                  <c:v>131707.97969655885</c:v>
                </c:pt>
                <c:pt idx="39">
                  <c:v>136046.17512673693</c:v>
                </c:pt>
                <c:pt idx="40">
                  <c:v>140575.60732554793</c:v>
                </c:pt>
                <c:pt idx="41">
                  <c:v>145290.46735064426</c:v>
                </c:pt>
                <c:pt idx="42">
                  <c:v>150185.57072441836</c:v>
                </c:pt>
                <c:pt idx="43">
                  <c:v>155256.27857603194</c:v>
                </c:pt>
                <c:pt idx="44">
                  <c:v>160498.43016152759</c:v>
                </c:pt>
                <c:pt idx="45">
                  <c:v>165908.28492375344</c:v>
                </c:pt>
                <c:pt idx="46">
                  <c:v>171482.47258132743</c:v>
                </c:pt>
                <c:pt idx="47">
                  <c:v>177217.94999979431</c:v>
                </c:pt>
                <c:pt idx="48">
                  <c:v>183111.96381180314</c:v>
                </c:pt>
                <c:pt idx="49">
                  <c:v>189162.01792688289</c:v>
                </c:pt>
                <c:pt idx="50">
                  <c:v>195444.94541506071</c:v>
                </c:pt>
                <c:pt idx="51">
                  <c:v>205746.80400882254</c:v>
                </c:pt>
                <c:pt idx="52">
                  <c:v>226923.01781237047</c:v>
                </c:pt>
                <c:pt idx="53">
                  <c:v>264821.41417370149</c:v>
                </c:pt>
                <c:pt idx="54">
                  <c:v>325169.77810637222</c:v>
                </c:pt>
                <c:pt idx="55">
                  <c:v>413835.43662783504</c:v>
                </c:pt>
                <c:pt idx="56">
                  <c:v>536928.34807118343</c:v>
                </c:pt>
                <c:pt idx="57">
                  <c:v>700856.34131490183</c:v>
                </c:pt>
                <c:pt idx="58">
                  <c:v>912359.97135026741</c:v>
                </c:pt>
                <c:pt idx="59">
                  <c:v>1178537.0888879958</c:v>
                </c:pt>
                <c:pt idx="60">
                  <c:v>1506861.6239501634</c:v>
                </c:pt>
                <c:pt idx="61">
                  <c:v>1905198.8527610498</c:v>
                </c:pt>
                <c:pt idx="62">
                  <c:v>2381818.3973472249</c:v>
                </c:pt>
                <c:pt idx="63">
                  <c:v>2945405.6927991938</c:v>
                </c:pt>
                <c:pt idx="64">
                  <c:v>3605072.3776081908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B96-4299-8677-4B014ACF176C}"/>
            </c:ext>
          </c:extLst>
        </c:ser>
        <c:ser>
          <c:idx val="10"/>
          <c:order val="2"/>
          <c:tx>
            <c:v>H2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'ENecesario(W2)'!$Z$7:$Z$71</c:f>
              <c:numCache>
                <c:formatCode>General</c:formatCode>
                <c:ptCount val="65"/>
                <c:pt idx="0">
                  <c:v>2737193.5948021938</c:v>
                </c:pt>
                <c:pt idx="1">
                  <c:v>1752597.5995091922</c:v>
                </c:pt>
                <c:pt idx="2">
                  <c:v>1218083.9471125142</c:v>
                </c:pt>
                <c:pt idx="3">
                  <c:v>896131.46860136406</c:v>
                </c:pt>
                <c:pt idx="4">
                  <c:v>687524.81673220568</c:v>
                </c:pt>
                <c:pt idx="5">
                  <c:v>544865.92936207925</c:v>
                </c:pt>
                <c:pt idx="6">
                  <c:v>443190.67805176228</c:v>
                </c:pt>
                <c:pt idx="7">
                  <c:v>368335.79537128017</c:v>
                </c:pt>
                <c:pt idx="8">
                  <c:v>311780.42734935705</c:v>
                </c:pt>
                <c:pt idx="9">
                  <c:v>268148.87706076552</c:v>
                </c:pt>
                <c:pt idx="10">
                  <c:v>233913.77237229099</c:v>
                </c:pt>
                <c:pt idx="11">
                  <c:v>206682.76302567736</c:v>
                </c:pt>
                <c:pt idx="12">
                  <c:v>184786.87630967991</c:v>
                </c:pt>
                <c:pt idx="13">
                  <c:v>167033.07660992144</c:v>
                </c:pt>
                <c:pt idx="14">
                  <c:v>152550.22362578401</c:v>
                </c:pt>
                <c:pt idx="15">
                  <c:v>140690.20832398848</c:v>
                </c:pt>
                <c:pt idx="16">
                  <c:v>130962.78221079761</c:v>
                </c:pt>
                <c:pt idx="17">
                  <c:v>122991.56814847741</c:v>
                </c:pt>
                <c:pt idx="18">
                  <c:v>116483.73520722704</c:v>
                </c:pt>
                <c:pt idx="19">
                  <c:v>111208.6936481085</c:v>
                </c:pt>
                <c:pt idx="20">
                  <c:v>106982.86912225338</c:v>
                </c:pt>
                <c:pt idx="21">
                  <c:v>103658.65150960178</c:v>
                </c:pt>
                <c:pt idx="22">
                  <c:v>101116.25972456975</c:v>
                </c:pt>
                <c:pt idx="23">
                  <c:v>99257.675197894307</c:v>
                </c:pt>
                <c:pt idx="24">
                  <c:v>98002.063980872525</c:v>
                </c:pt>
                <c:pt idx="25">
                  <c:v>97282.284182371877</c:v>
                </c:pt>
                <c:pt idx="26">
                  <c:v>97042.194326597644</c:v>
                </c:pt>
                <c:pt idx="27">
                  <c:v>97234.55940006976</c:v>
                </c:pt>
                <c:pt idx="28">
                  <c:v>97819.407583933978</c:v>
                </c:pt>
                <c:pt idx="29">
                  <c:v>98762.730127255156</c:v>
                </c:pt>
                <c:pt idx="30">
                  <c:v>100035.44484928717</c:v>
                </c:pt>
                <c:pt idx="31">
                  <c:v>101612.56390135341</c:v>
                </c:pt>
                <c:pt idx="32">
                  <c:v>103472.52104750277</c:v>
                </c:pt>
                <c:pt idx="33">
                  <c:v>105596.62445364681</c:v>
                </c:pt>
                <c:pt idx="34">
                  <c:v>107968.60892026097</c:v>
                </c:pt>
                <c:pt idx="35">
                  <c:v>110574.26742898196</c:v>
                </c:pt>
                <c:pt idx="36">
                  <c:v>113401.1463441275</c:v>
                </c:pt>
                <c:pt idx="37">
                  <c:v>116438.29200423826</c:v>
                </c:pt>
                <c:pt idx="38">
                  <c:v>119676.03903466885</c:v>
                </c:pt>
                <c:pt idx="39">
                  <c:v>123105.83271174879</c:v>
                </c:pt>
                <c:pt idx="40">
                  <c:v>126720.07925943477</c:v>
                </c:pt>
                <c:pt idx="41">
                  <c:v>130512.01916920162</c:v>
                </c:pt>
                <c:pt idx="42">
                  <c:v>134475.6195836908</c:v>
                </c:pt>
                <c:pt idx="43">
                  <c:v>138605.48253454559</c:v>
                </c:pt>
                <c:pt idx="44">
                  <c:v>142896.76642021982</c:v>
                </c:pt>
                <c:pt idx="45">
                  <c:v>147345.1185846802</c:v>
                </c:pt>
                <c:pt idx="46">
                  <c:v>151946.61723900685</c:v>
                </c:pt>
                <c:pt idx="47">
                  <c:v>156697.72127501483</c:v>
                </c:pt>
                <c:pt idx="48">
                  <c:v>161595.22676865594</c:v>
                </c:pt>
                <c:pt idx="49">
                  <c:v>166677.65462362912</c:v>
                </c:pt>
                <c:pt idx="50">
                  <c:v>174961.56409791432</c:v>
                </c:pt>
                <c:pt idx="51">
                  <c:v>192445.6134657152</c:v>
                </c:pt>
                <c:pt idx="52">
                  <c:v>224255.72639004173</c:v>
                </c:pt>
                <c:pt idx="53">
                  <c:v>275402.89557545428</c:v>
                </c:pt>
                <c:pt idx="54">
                  <c:v>351022.71130579273</c:v>
                </c:pt>
                <c:pt idx="55">
                  <c:v>456468.25973626063</c:v>
                </c:pt>
                <c:pt idx="56">
                  <c:v>597359.4616399348</c:v>
                </c:pt>
                <c:pt idx="57">
                  <c:v>779614.08271208778</c:v>
                </c:pt>
                <c:pt idx="58">
                  <c:v>1009469.5645959767</c:v>
                </c:pt>
                <c:pt idx="59">
                  <c:v>1293499.7193724189</c:v>
                </c:pt>
                <c:pt idx="60">
                  <c:v>1638628.3140686448</c:v>
                </c:pt>
                <c:pt idx="61">
                  <c:v>2052140.6558678353</c:v>
                </c:pt>
                <c:pt idx="62">
                  <c:v>2541693.8289985745</c:v>
                </c:pt>
                <c:pt idx="63">
                  <c:v>3115325.9854830364</c:v>
                </c:pt>
                <c:pt idx="64">
                  <c:v>3781464.949043218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B96-4299-8677-4B014ACF176C}"/>
            </c:ext>
          </c:extLst>
        </c:ser>
        <c:ser>
          <c:idx val="11"/>
          <c:order val="3"/>
          <c:tx>
            <c:v>H3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'ENecesario(W2)'!$AH$7:$AH$71</c:f>
              <c:numCache>
                <c:formatCode>General</c:formatCode>
                <c:ptCount val="65"/>
                <c:pt idx="0">
                  <c:v>3202707.5007068072</c:v>
                </c:pt>
                <c:pt idx="1">
                  <c:v>2050411.0775656325</c:v>
                </c:pt>
                <c:pt idx="2">
                  <c:v>1424753.1081841439</c:v>
                </c:pt>
                <c:pt idx="3">
                  <c:v>1047793.6891970806</c:v>
                </c:pt>
                <c:pt idx="4">
                  <c:v>803434.09921440901</c:v>
                </c:pt>
                <c:pt idx="5">
                  <c:v>636210.59634491324</c:v>
                </c:pt>
                <c:pt idx="6">
                  <c:v>516910.93195032561</c:v>
                </c:pt>
                <c:pt idx="7">
                  <c:v>428961.68987065472</c:v>
                </c:pt>
                <c:pt idx="8">
                  <c:v>362392.03113087715</c:v>
                </c:pt>
                <c:pt idx="9">
                  <c:v>310911.48195915559</c:v>
                </c:pt>
                <c:pt idx="10">
                  <c:v>270392.42091474845</c:v>
                </c:pt>
                <c:pt idx="11">
                  <c:v>238035.39394324509</c:v>
                </c:pt>
                <c:pt idx="12">
                  <c:v>211887.42095443106</c:v>
                </c:pt>
                <c:pt idx="13">
                  <c:v>190552.44868386531</c:v>
                </c:pt>
                <c:pt idx="14">
                  <c:v>173011.09577712099</c:v>
                </c:pt>
                <c:pt idx="15">
                  <c:v>158504.96514971938</c:v>
                </c:pt>
                <c:pt idx="16">
                  <c:v>146460.38322325138</c:v>
                </c:pt>
                <c:pt idx="17">
                  <c:v>136436.92514747599</c:v>
                </c:pt>
                <c:pt idx="18">
                  <c:v>128091.92925282437</c:v>
                </c:pt>
                <c:pt idx="19">
                  <c:v>121155.56658036867</c:v>
                </c:pt>
                <c:pt idx="20">
                  <c:v>115413.02412208405</c:v>
                </c:pt>
                <c:pt idx="21">
                  <c:v>110691.57309478015</c:v>
                </c:pt>
                <c:pt idx="22">
                  <c:v>106851.04938807116</c:v>
                </c:pt>
                <c:pt idx="23">
                  <c:v>103776.75471303229</c:v>
                </c:pt>
                <c:pt idx="24">
                  <c:v>101374.09969060027</c:v>
                </c:pt>
                <c:pt idx="25">
                  <c:v>99564.51696271234</c:v>
                </c:pt>
                <c:pt idx="26">
                  <c:v>98282.311516068716</c:v>
                </c:pt>
                <c:pt idx="27">
                  <c:v>97472.21040326517</c:v>
                </c:pt>
                <c:pt idx="28">
                  <c:v>97087.439841922896</c:v>
                </c:pt>
                <c:pt idx="29">
                  <c:v>97088.203846749893</c:v>
                </c:pt>
                <c:pt idx="30">
                  <c:v>97440.471352052569</c:v>
                </c:pt>
                <c:pt idx="31">
                  <c:v>98115.002352506723</c:v>
                </c:pt>
                <c:pt idx="32">
                  <c:v>99086.560707850993</c:v>
                </c:pt>
                <c:pt idx="33">
                  <c:v>100333.27381371122</c:v>
                </c:pt>
                <c:pt idx="34">
                  <c:v>101836.10863819846</c:v>
                </c:pt>
                <c:pt idx="35">
                  <c:v>103578.44056916784</c:v>
                </c:pt>
                <c:pt idx="36">
                  <c:v>105545.69674849276</c:v>
                </c:pt>
                <c:pt idx="37">
                  <c:v>107725.05954134847</c:v>
                </c:pt>
                <c:pt idx="38">
                  <c:v>110105.21882617362</c:v>
                </c:pt>
                <c:pt idx="39">
                  <c:v>112676.16413072187</c:v>
                </c:pt>
                <c:pt idx="40">
                  <c:v>115429.0094538488</c:v>
                </c:pt>
                <c:pt idx="41">
                  <c:v>118355.84502837823</c:v>
                </c:pt>
                <c:pt idx="42">
                  <c:v>121449.61139178634</c:v>
                </c:pt>
                <c:pt idx="43">
                  <c:v>124703.99200896313</c:v>
                </c:pt>
                <c:pt idx="44">
                  <c:v>128113.3213879801</c:v>
                </c:pt>
                <c:pt idx="45">
                  <c:v>131672.50618577932</c:v>
                </c:pt>
                <c:pt idx="46">
                  <c:v>135376.95724663243</c:v>
                </c:pt>
                <c:pt idx="47">
                  <c:v>139222.53087559686</c:v>
                </c:pt>
                <c:pt idx="48">
                  <c:v>143229.55248298234</c:v>
                </c:pt>
                <c:pt idx="49">
                  <c:v>149849.22860560231</c:v>
                </c:pt>
                <c:pt idx="50">
                  <c:v>164289.34088515912</c:v>
                </c:pt>
                <c:pt idx="51">
                  <c:v>191015.314093339</c:v>
                </c:pt>
                <c:pt idx="52">
                  <c:v>234390.02874860974</c:v>
                </c:pt>
                <c:pt idx="53">
                  <c:v>298889.36829691136</c:v>
                </c:pt>
                <c:pt idx="54">
                  <c:v>389184.45719314914</c:v>
                </c:pt>
                <c:pt idx="55">
                  <c:v>510185.10615821497</c:v>
                </c:pt>
                <c:pt idx="56">
                  <c:v>667067.07634164288</c:v>
                </c:pt>
                <c:pt idx="57">
                  <c:v>865291.28308528953</c:v>
                </c:pt>
                <c:pt idx="58">
                  <c:v>1110618.5060891176</c:v>
                </c:pt>
                <c:pt idx="59">
                  <c:v>1409121.3862849711</c:v>
                </c:pt>
                <c:pt idx="60">
                  <c:v>1767194.681911187</c:v>
                </c:pt>
                <c:pt idx="61">
                  <c:v>2191564.3522511097</c:v>
                </c:pt>
                <c:pt idx="62">
                  <c:v>2689295.8194554891</c:v>
                </c:pt>
                <c:pt idx="63">
                  <c:v>3267801.6339531145</c:v>
                </c:pt>
                <c:pt idx="64">
                  <c:v>3934848.6938453862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B96-4299-8677-4B014ACF176C}"/>
            </c:ext>
          </c:extLst>
        </c:ser>
        <c:ser>
          <c:idx val="12"/>
          <c:order val="4"/>
          <c:tx>
            <c:v>H4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'ENecesario(W2)'!$AP$7:$AP$71</c:f>
              <c:numCache>
                <c:formatCode>General</c:formatCode>
                <c:ptCount val="65"/>
                <c:pt idx="0">
                  <c:v>3770118.7972328034</c:v>
                </c:pt>
                <c:pt idx="1">
                  <c:v>2413452.1882896298</c:v>
                </c:pt>
                <c:pt idx="2">
                  <c:v>1676736.0349622862</c:v>
                </c:pt>
                <c:pt idx="3">
                  <c:v>1232767.9804692261</c:v>
                </c:pt>
                <c:pt idx="4">
                  <c:v>944871.80524574546</c:v>
                </c:pt>
                <c:pt idx="5">
                  <c:v>747753.29697113414</c:v>
                </c:pt>
                <c:pt idx="6">
                  <c:v>607022.58759982127</c:v>
                </c:pt>
                <c:pt idx="7">
                  <c:v>503168.76573761349</c:v>
                </c:pt>
                <c:pt idx="8">
                  <c:v>424453.74710004736</c:v>
                </c:pt>
                <c:pt idx="9">
                  <c:v>363472.12563172565</c:v>
                </c:pt>
                <c:pt idx="10">
                  <c:v>315364.69455103751</c:v>
                </c:pt>
                <c:pt idx="11">
                  <c:v>276835.82068975456</c:v>
                </c:pt>
                <c:pt idx="12">
                  <c:v>245586.37506161563</c:v>
                </c:pt>
                <c:pt idx="13">
                  <c:v>219972.86598807151</c:v>
                </c:pt>
                <c:pt idx="14">
                  <c:v>198795.23555160413</c:v>
                </c:pt>
                <c:pt idx="15">
                  <c:v>181160.66731810974</c:v>
                </c:pt>
                <c:pt idx="16">
                  <c:v>166393.80900961036</c:v>
                </c:pt>
                <c:pt idx="17">
                  <c:v>153976.17426542446</c:v>
                </c:pt>
                <c:pt idx="18">
                  <c:v>143504.36758708599</c:v>
                </c:pt>
                <c:pt idx="19">
                  <c:v>134660.7351572765</c:v>
                </c:pt>
                <c:pt idx="20">
                  <c:v>127192.3902129151</c:v>
                </c:pt>
                <c:pt idx="21">
                  <c:v>120895.9892820512</c:v>
                </c:pt>
                <c:pt idx="22">
                  <c:v>115606.52537324843</c:v>
                </c:pt>
                <c:pt idx="23">
                  <c:v>111188.97091399702</c:v>
                </c:pt>
                <c:pt idx="24">
                  <c:v>107531.97137268326</c:v>
                </c:pt>
                <c:pt idx="25">
                  <c:v>104543.03400388641</c:v>
                </c:pt>
                <c:pt idx="26">
                  <c:v>102144.81991916249</c:v>
                </c:pt>
                <c:pt idx="27">
                  <c:v>100272.25951735686</c:v>
                </c:pt>
                <c:pt idx="28">
                  <c:v>98870.288766120822</c:v>
                </c:pt>
                <c:pt idx="29">
                  <c:v>97892.058184612106</c:v>
                </c:pt>
                <c:pt idx="30">
                  <c:v>97297.504993920942</c:v>
                </c:pt>
                <c:pt idx="31">
                  <c:v>97052.206649682383</c:v>
                </c:pt>
                <c:pt idx="32">
                  <c:v>97126.454123183357</c:v>
                </c:pt>
                <c:pt idx="33">
                  <c:v>97494.498079357101</c:v>
                </c:pt>
                <c:pt idx="34">
                  <c:v>98133.932045382127</c:v>
                </c:pt>
                <c:pt idx="35">
                  <c:v>99025.184839832073</c:v>
                </c:pt>
                <c:pt idx="36">
                  <c:v>100151.10069102276</c:v>
                </c:pt>
                <c:pt idx="37">
                  <c:v>101496.59014878079</c:v>
                </c:pt>
                <c:pt idx="38">
                  <c:v>103048.33846993484</c:v>
                </c:pt>
                <c:pt idx="39">
                  <c:v>104794.56091227334</c:v>
                </c:pt>
                <c:pt idx="40">
                  <c:v>106724.7965075019</c:v>
                </c:pt>
                <c:pt idx="41">
                  <c:v>108829.73355035516</c:v>
                </c:pt>
                <c:pt idx="42">
                  <c:v>111101.06134939428</c:v>
                </c:pt>
                <c:pt idx="43">
                  <c:v>113531.34381807801</c:v>
                </c:pt>
                <c:pt idx="44">
                  <c:v>116113.91130484182</c:v>
                </c:pt>
                <c:pt idx="45">
                  <c:v>118842.76771544994</c:v>
                </c:pt>
                <c:pt idx="46">
                  <c:v>121712.5105058568</c:v>
                </c:pt>
                <c:pt idx="47">
                  <c:v>124735.15463061597</c:v>
                </c:pt>
                <c:pt idx="48">
                  <c:v>129956.41532552737</c:v>
                </c:pt>
                <c:pt idx="49">
                  <c:v>141865.57885021158</c:v>
                </c:pt>
                <c:pt idx="50">
                  <c:v>164326.12085089379</c:v>
                </c:pt>
                <c:pt idx="51">
                  <c:v>201117.04917873433</c:v>
                </c:pt>
                <c:pt idx="52">
                  <c:v>256121.43787407561</c:v>
                </c:pt>
                <c:pt idx="53">
                  <c:v>333397.8299547697</c:v>
                </c:pt>
                <c:pt idx="54">
                  <c:v>437217.91054685466</c:v>
                </c:pt>
                <c:pt idx="55">
                  <c:v>572090.17564455187</c:v>
                </c:pt>
                <c:pt idx="56">
                  <c:v>742776.64540874865</c:v>
                </c:pt>
                <c:pt idx="57">
                  <c:v>954305.70800212235</c:v>
                </c:pt>
                <c:pt idx="58">
                  <c:v>1211982.6305325322</c:v>
                </c:pt>
                <c:pt idx="59">
                  <c:v>1521398.5748121755</c:v>
                </c:pt>
                <c:pt idx="60">
                  <c:v>1888438.6068032444</c:v>
                </c:pt>
                <c:pt idx="61">
                  <c:v>2319289.000682286</c:v>
                </c:pt>
                <c:pt idx="62">
                  <c:v>2820444.0309453146</c:v>
                </c:pt>
                <c:pt idx="63">
                  <c:v>3398712.3814174756</c:v>
                </c:pt>
                <c:pt idx="64">
                  <c:v>4061223.2596751177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B96-4299-8677-4B014ACF176C}"/>
            </c:ext>
          </c:extLst>
        </c:ser>
        <c:ser>
          <c:idx val="13"/>
          <c:order val="5"/>
          <c:tx>
            <c:v>H5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'ENecesario(W2)'!$AX$7:$AX$71</c:f>
              <c:numCache>
                <c:formatCode>General</c:formatCode>
                <c:ptCount val="65"/>
                <c:pt idx="0">
                  <c:v>4467098.3209131118</c:v>
                </c:pt>
                <c:pt idx="1">
                  <c:v>2859429.1651364751</c:v>
                </c:pt>
                <c:pt idx="2">
                  <c:v>1986328.7202819323</c:v>
                </c:pt>
                <c:pt idx="3">
                  <c:v>1460086.4494981745</c:v>
                </c:pt>
                <c:pt idx="4">
                  <c:v>1118751.1645863412</c:v>
                </c:pt>
                <c:pt idx="5">
                  <c:v>884954.0642909829</c:v>
                </c:pt>
                <c:pt idx="6">
                  <c:v>717945.7043435931</c:v>
                </c:pt>
                <c:pt idx="7">
                  <c:v>594607.10111120262</c:v>
                </c:pt>
                <c:pt idx="8">
                  <c:v>501029.494876126</c:v>
                </c:pt>
                <c:pt idx="9">
                  <c:v>428438.02843506652</c:v>
                </c:pt>
                <c:pt idx="10">
                  <c:v>371074.90197111323</c:v>
                </c:pt>
                <c:pt idx="11">
                  <c:v>325035.03448947321</c:v>
                </c:pt>
                <c:pt idx="12">
                  <c:v>287594.12857883947</c:v>
                </c:pt>
                <c:pt idx="13">
                  <c:v>256804.76843429913</c:v>
                </c:pt>
                <c:pt idx="14">
                  <c:v>231244.97438544239</c:v>
                </c:pt>
                <c:pt idx="15">
                  <c:v>209856.82514349587</c:v>
                </c:pt>
                <c:pt idx="16">
                  <c:v>191840.07832379537</c:v>
                </c:pt>
                <c:pt idx="17">
                  <c:v>176580.36602499909</c:v>
                </c:pt>
                <c:pt idx="18">
                  <c:v>163599.6944856561</c:v>
                </c:pt>
                <c:pt idx="19">
                  <c:v>152521.66748033333</c:v>
                </c:pt>
                <c:pt idx="20">
                  <c:v>143046.63294160331</c:v>
                </c:pt>
                <c:pt idx="21">
                  <c:v>134933.64392931975</c:v>
                </c:pt>
                <c:pt idx="22">
                  <c:v>127987.17939081271</c:v>
                </c:pt>
                <c:pt idx="23">
                  <c:v>122047.24166242717</c:v>
                </c:pt>
                <c:pt idx="24">
                  <c:v>116981.88387905658</c:v>
                </c:pt>
                <c:pt idx="25">
                  <c:v>112681.50899398445</c:v>
                </c:pt>
                <c:pt idx="26">
                  <c:v>109054.47615763675</c:v>
                </c:pt>
                <c:pt idx="27">
                  <c:v>106023.68271633914</c:v>
                </c:pt>
                <c:pt idx="28">
                  <c:v>103523.88187372641</c:v>
                </c:pt>
                <c:pt idx="29">
                  <c:v>101499.56046801325</c:v>
                </c:pt>
                <c:pt idx="30">
                  <c:v>99903.247076097352</c:v>
                </c:pt>
                <c:pt idx="31">
                  <c:v>98694.153534694051</c:v>
                </c:pt>
                <c:pt idx="32">
                  <c:v>97837.076847147153</c:v>
                </c:pt>
                <c:pt idx="33">
                  <c:v>97301.50596023415</c:v>
                </c:pt>
                <c:pt idx="34">
                  <c:v>97060.890864682442</c:v>
                </c:pt>
                <c:pt idx="35">
                  <c:v>97092.041161338813</c:v>
                </c:pt>
                <c:pt idx="36">
                  <c:v>97374.628532537157</c:v>
                </c:pt>
                <c:pt idx="37">
                  <c:v>97890.773098422476</c:v>
                </c:pt>
                <c:pt idx="38">
                  <c:v>98624.697875375918</c:v>
                </c:pt>
                <c:pt idx="39">
                  <c:v>99562.438817494942</c:v>
                </c:pt>
                <c:pt idx="40">
                  <c:v>100691.6004528359</c:v>
                </c:pt>
                <c:pt idx="41">
                  <c:v>102001.14910094815</c:v>
                </c:pt>
                <c:pt idx="42">
                  <c:v>103481.2372085589</c:v>
                </c:pt>
                <c:pt idx="43">
                  <c:v>105123.05356436354</c:v>
                </c:pt>
                <c:pt idx="44">
                  <c:v>106918.69512568803</c:v>
                </c:pt>
                <c:pt idx="45">
                  <c:v>108861.05696536122</c:v>
                </c:pt>
                <c:pt idx="46">
                  <c:v>110958.99291045699</c:v>
                </c:pt>
                <c:pt idx="47">
                  <c:v>114973.86754435996</c:v>
                </c:pt>
                <c:pt idx="48">
                  <c:v>124749.17993749455</c:v>
                </c:pt>
                <c:pt idx="49">
                  <c:v>143602.87686779007</c:v>
                </c:pt>
                <c:pt idx="50">
                  <c:v>174790.14286779275</c:v>
                </c:pt>
                <c:pt idx="51">
                  <c:v>221663.24745798111</c:v>
                </c:pt>
                <c:pt idx="52">
                  <c:v>287732.26020553039</c:v>
                </c:pt>
                <c:pt idx="53">
                  <c:v>376697.18740901101</c:v>
                </c:pt>
                <c:pt idx="54">
                  <c:v>492468.24484562012</c:v>
                </c:pt>
                <c:pt idx="55">
                  <c:v>639180.24022867496</c:v>
                </c:pt>
                <c:pt idx="56">
                  <c:v>821203.67990960588</c:v>
                </c:pt>
                <c:pt idx="57">
                  <c:v>1043153.9010724463</c:v>
                </c:pt>
                <c:pt idx="58">
                  <c:v>1309898.9384659606</c:v>
                </c:pt>
                <c:pt idx="59">
                  <c:v>1626566.5392309979</c:v>
                </c:pt>
                <c:pt idx="60">
                  <c:v>1998550.5802547522</c:v>
                </c:pt>
                <c:pt idx="61">
                  <c:v>2431517.0515002161</c:v>
                </c:pt>
                <c:pt idx="62">
                  <c:v>2931409.7141531184</c:v>
                </c:pt>
                <c:pt idx="63">
                  <c:v>3504455.5083122519</c:v>
                </c:pt>
                <c:pt idx="64">
                  <c:v>4157169.7628992768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B96-4299-8677-4B014ACF176C}"/>
            </c:ext>
          </c:extLst>
        </c:ser>
        <c:ser>
          <c:idx val="14"/>
          <c:order val="6"/>
          <c:tx>
            <c:v>H6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'ENecesario(W2)'!$BF$7:$BF$71</c:f>
              <c:numCache>
                <c:formatCode>General</c:formatCode>
                <c:ptCount val="65"/>
                <c:pt idx="0">
                  <c:v>5330424.8453336721</c:v>
                </c:pt>
                <c:pt idx="1">
                  <c:v>3411879.3740638937</c:v>
                </c:pt>
                <c:pt idx="2">
                  <c:v>2369875.2323215101</c:v>
                </c:pt>
                <c:pt idx="3">
                  <c:v>1741755.3801877494</c:v>
                </c:pt>
                <c:pt idx="4">
                  <c:v>1334262.6058470111</c:v>
                </c:pt>
                <c:pt idx="5">
                  <c:v>1055072.3084215079</c:v>
                </c:pt>
                <c:pt idx="6">
                  <c:v>855557.95994346251</c:v>
                </c:pt>
                <c:pt idx="7">
                  <c:v>708131.55462787359</c:v>
                </c:pt>
                <c:pt idx="8">
                  <c:v>596195.69573596213</c:v>
                </c:pt>
                <c:pt idx="9">
                  <c:v>509279.29962796625</c:v>
                </c:pt>
                <c:pt idx="10">
                  <c:v>440511.55324481637</c:v>
                </c:pt>
                <c:pt idx="11">
                  <c:v>385232.50272411102</c:v>
                </c:pt>
                <c:pt idx="12">
                  <c:v>340191.22951612546</c:v>
                </c:pt>
                <c:pt idx="13">
                  <c:v>303063.87201237946</c:v>
                </c:pt>
                <c:pt idx="14">
                  <c:v>272153.57433044247</c:v>
                </c:pt>
                <c:pt idx="15">
                  <c:v>246197.91338554106</c:v>
                </c:pt>
                <c:pt idx="16">
                  <c:v>224241.95569582298</c:v>
                </c:pt>
                <c:pt idx="17">
                  <c:v>205552.57278620402</c:v>
                </c:pt>
                <c:pt idx="18">
                  <c:v>189559.37216601675</c:v>
                </c:pt>
                <c:pt idx="19">
                  <c:v>175813.19822316547</c:v>
                </c:pt>
                <c:pt idx="20">
                  <c:v>163956.47455632908</c:v>
                </c:pt>
                <c:pt idx="21">
                  <c:v>153701.67790392475</c:v>
                </c:pt>
                <c:pt idx="22">
                  <c:v>144815.49195681946</c:v>
                </c:pt>
                <c:pt idx="23">
                  <c:v>137106.99065439677</c:v>
                </c:pt>
                <c:pt idx="24">
                  <c:v>130418.72110272048</c:v>
                </c:pt>
                <c:pt idx="25">
                  <c:v>124619.90056467574</c:v>
                </c:pt>
                <c:pt idx="26">
                  <c:v>119601.17352843174</c:v>
                </c:pt>
                <c:pt idx="27">
                  <c:v>115270.53298843087</c:v>
                </c:pt>
                <c:pt idx="28">
                  <c:v>111550.11959652213</c:v>
                </c:pt>
                <c:pt idx="29">
                  <c:v>108373.68920232281</c:v>
                </c:pt>
                <c:pt idx="30">
                  <c:v>105684.59390487154</c:v>
                </c:pt>
                <c:pt idx="31">
                  <c:v>103434.16097259318</c:v>
                </c:pt>
                <c:pt idx="32">
                  <c:v>101580.38248287234</c:v>
                </c:pt>
                <c:pt idx="33">
                  <c:v>100086.84943407764</c:v>
                </c:pt>
                <c:pt idx="34">
                  <c:v>98921.879559331224</c:v>
                </c:pt>
                <c:pt idx="35">
                  <c:v>98057.799632329043</c:v>
                </c:pt>
                <c:pt idx="36">
                  <c:v>97470.351763785045</c:v>
                </c:pt>
                <c:pt idx="37">
                  <c:v>97138.199798239162</c:v>
                </c:pt>
                <c:pt idx="38">
                  <c:v>97042.51697746283</c:v>
                </c:pt>
                <c:pt idx="39">
                  <c:v>97166.639931419661</c:v>
                </c:pt>
                <c:pt idx="40">
                  <c:v>97495.777077697669</c:v>
                </c:pt>
                <c:pt idx="41">
                  <c:v>98016.761866895875</c:v>
                </c:pt>
                <c:pt idx="42">
                  <c:v>98717.843161465629</c:v>
                </c:pt>
                <c:pt idx="43">
                  <c:v>99588.506496225222</c:v>
                </c:pt>
                <c:pt idx="44">
                  <c:v>100619.3211284365</c:v>
                </c:pt>
                <c:pt idx="45">
                  <c:v>101819.51780332744</c:v>
                </c:pt>
                <c:pt idx="46">
                  <c:v>104755.01722259782</c:v>
                </c:pt>
                <c:pt idx="47">
                  <c:v>112691.78876266093</c:v>
                </c:pt>
                <c:pt idx="48">
                  <c:v>128456.9551954106</c:v>
                </c:pt>
                <c:pt idx="49">
                  <c:v>154837.90036470239</c:v>
                </c:pt>
                <c:pt idx="50">
                  <c:v>194713.39942094966</c:v>
                </c:pt>
                <c:pt idx="51">
                  <c:v>251104.11488499559</c:v>
                </c:pt>
                <c:pt idx="52">
                  <c:v>327199.53835273965</c:v>
                </c:pt>
                <c:pt idx="53">
                  <c:v>426375.10916366323</c:v>
                </c:pt>
                <c:pt idx="54">
                  <c:v>552204.44444239407</c:v>
                </c:pt>
                <c:pt idx="55">
                  <c:v>708468.84637986729</c:v>
                </c:pt>
                <c:pt idx="56">
                  <c:v>899165.16648752033</c:v>
                </c:pt>
                <c:pt idx="57">
                  <c:v>1128512.615748398</c:v>
                </c:pt>
                <c:pt idx="58">
                  <c:v>1400958.864360864</c:v>
                </c:pt>
                <c:pt idx="59">
                  <c:v>1721185.6425954136</c:v>
                </c:pt>
                <c:pt idx="60">
                  <c:v>2094113.9786703144</c:v>
                </c:pt>
                <c:pt idx="61">
                  <c:v>2524909.164155928</c:v>
                </c:pt>
                <c:pt idx="62">
                  <c:v>3018985.5090514212</c:v>
                </c:pt>
                <c:pt idx="63">
                  <c:v>3582010.930344284</c:v>
                </c:pt>
                <c:pt idx="64">
                  <c:v>4219911.4056652775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B96-4299-8677-4B014ACF176C}"/>
            </c:ext>
          </c:extLst>
        </c:ser>
        <c:ser>
          <c:idx val="15"/>
          <c:order val="7"/>
          <c:tx>
            <c:v>H7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'ENecesario(W2)'!$BN$7:$BN$71</c:f>
              <c:numCache>
                <c:formatCode>General</c:formatCode>
                <c:ptCount val="65"/>
                <c:pt idx="0">
                  <c:v>6409555.8670220152</c:v>
                </c:pt>
                <c:pt idx="1">
                  <c:v>4102454.6159644937</c:v>
                </c:pt>
                <c:pt idx="2">
                  <c:v>2849354.7295038006</c:v>
                </c:pt>
                <c:pt idx="3">
                  <c:v>2093921.2025772023</c:v>
                </c:pt>
                <c:pt idx="4">
                  <c:v>1603766.4507815365</c:v>
                </c:pt>
                <c:pt idx="5">
                  <c:v>1267872.1541410026</c:v>
                </c:pt>
                <c:pt idx="6">
                  <c:v>1027765.9727817993</c:v>
                </c:pt>
                <c:pt idx="7">
                  <c:v>850273.93113713688</c:v>
                </c:pt>
                <c:pt idx="8">
                  <c:v>715438.02143452375</c:v>
                </c:pt>
                <c:pt idx="9">
                  <c:v>610666.99385581759</c:v>
                </c:pt>
                <c:pt idx="10">
                  <c:v>527698.84547402558</c:v>
                </c:pt>
                <c:pt idx="11">
                  <c:v>460930.08335173142</c:v>
                </c:pt>
                <c:pt idx="12">
                  <c:v>406451.54879951477</c:v>
                </c:pt>
                <c:pt idx="13">
                  <c:v>361468.848890931</c:v>
                </c:pt>
                <c:pt idx="14">
                  <c:v>323941.55141704099</c:v>
                </c:pt>
                <c:pt idx="15">
                  <c:v>292351.62013790733</c:v>
                </c:pt>
                <c:pt idx="16">
                  <c:v>265550.76835815393</c:v>
                </c:pt>
                <c:pt idx="17">
                  <c:v>242657.4250679262</c:v>
                </c:pt>
                <c:pt idx="18">
                  <c:v>222985.70573115622</c:v>
                </c:pt>
                <c:pt idx="19">
                  <c:v>205995.5105154214</c:v>
                </c:pt>
                <c:pt idx="20">
                  <c:v>191256.86159292483</c:v>
                </c:pt>
                <c:pt idx="21">
                  <c:v>178424.01850931937</c:v>
                </c:pt>
                <c:pt idx="22">
                  <c:v>167216.42348892431</c:v>
                </c:pt>
                <c:pt idx="23">
                  <c:v>157404.49210583657</c:v>
                </c:pt>
                <c:pt idx="24">
                  <c:v>148798.89068740644</c:v>
                </c:pt>
                <c:pt idx="25">
                  <c:v>141242.35584318024</c:v>
                </c:pt>
                <c:pt idx="26">
                  <c:v>134603.38995401707</c:v>
                </c:pt>
                <c:pt idx="27">
                  <c:v>128771.35660139046</c:v>
                </c:pt>
                <c:pt idx="28">
                  <c:v>123652.63161640117</c:v>
                </c:pt>
                <c:pt idx="29">
                  <c:v>119167.55785226727</c:v>
                </c:pt>
                <c:pt idx="30">
                  <c:v>115248.01744294757</c:v>
                </c:pt>
                <c:pt idx="31">
                  <c:v>111835.48248973774</c:v>
                </c:pt>
                <c:pt idx="32">
                  <c:v>108879.4393814215</c:v>
                </c:pt>
                <c:pt idx="33">
                  <c:v>106336.1070872152</c:v>
                </c:pt>
                <c:pt idx="34">
                  <c:v>104167.38837183862</c:v>
                </c:pt>
                <c:pt idx="35">
                  <c:v>102340.00678390841</c:v>
                </c:pt>
                <c:pt idx="36">
                  <c:v>100824.79274035485</c:v>
                </c:pt>
                <c:pt idx="37">
                  <c:v>99596.089979342971</c:v>
                </c:pt>
                <c:pt idx="38">
                  <c:v>98631.259734506602</c:v>
                </c:pt>
                <c:pt idx="39">
                  <c:v>97910.264666621049</c:v>
                </c:pt>
                <c:pt idx="40">
                  <c:v>97415.318220276866</c:v>
                </c:pt>
                <c:pt idx="41">
                  <c:v>97130.587906836445</c:v>
                </c:pt>
                <c:pt idx="42">
                  <c:v>97041.943239560002</c:v>
                </c:pt>
                <c:pt idx="43">
                  <c:v>97136.740803270877</c:v>
                </c:pt>
                <c:pt idx="44">
                  <c:v>97428.391441298489</c:v>
                </c:pt>
                <c:pt idx="45">
                  <c:v>99349.532724161661</c:v>
                </c:pt>
                <c:pt idx="46">
                  <c:v>105649.92623374832</c:v>
                </c:pt>
                <c:pt idx="47">
                  <c:v>118718.83290632468</c:v>
                </c:pt>
                <c:pt idx="48">
                  <c:v>140927.90451462302</c:v>
                </c:pt>
                <c:pt idx="49">
                  <c:v>174735.19162616724</c:v>
                </c:pt>
                <c:pt idx="50">
                  <c:v>222726.17625466819</c:v>
                </c:pt>
                <c:pt idx="51">
                  <c:v>287635.94892578217</c:v>
                </c:pt>
                <c:pt idx="52">
                  <c:v>372363.44869625563</c:v>
                </c:pt>
                <c:pt idx="53">
                  <c:v>479981.73272571451</c:v>
                </c:pt>
                <c:pt idx="54">
                  <c:v>613746.02706002409</c:v>
                </c:pt>
                <c:pt idx="55">
                  <c:v>777100.43519388989</c:v>
                </c:pt>
                <c:pt idx="56">
                  <c:v>973683.78372913855</c:v>
                </c:pt>
                <c:pt idx="57">
                  <c:v>1207334.8853390974</c:v>
                </c:pt>
                <c:pt idx="58">
                  <c:v>1482097.3916952049</c:v>
                </c:pt>
                <c:pt idx="59">
                  <c:v>1802224.3473845734</c:v>
                </c:pt>
                <c:pt idx="60">
                  <c:v>2172182.5188067798</c:v>
                </c:pt>
                <c:pt idx="61">
                  <c:v>2596656.5488746045</c:v>
                </c:pt>
                <c:pt idx="62">
                  <c:v>3080552.9733647113</c:v>
                </c:pt>
                <c:pt idx="63">
                  <c:v>3629004.1247949135</c:v>
                </c:pt>
                <c:pt idx="64">
                  <c:v>4247371.9429017641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B96-4299-8677-4B014ACF176C}"/>
            </c:ext>
          </c:extLst>
        </c:ser>
        <c:ser>
          <c:idx val="0"/>
          <c:order val="8"/>
          <c:tx>
            <c:v>H=0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EDisponible!$P$20:$P$84</c:f>
              <c:numCache>
                <c:formatCode>General</c:formatCode>
                <c:ptCount val="65"/>
                <c:pt idx="0">
                  <c:v>400275.57966900425</c:v>
                </c:pt>
                <c:pt idx="1">
                  <c:v>394107.52705885581</c:v>
                </c:pt>
                <c:pt idx="2">
                  <c:v>388581.86155327468</c:v>
                </c:pt>
                <c:pt idx="3">
                  <c:v>383549.3063924039</c:v>
                </c:pt>
                <c:pt idx="4">
                  <c:v>378912.14922960958</c:v>
                </c:pt>
                <c:pt idx="5">
                  <c:v>374602.13330298528</c:v>
                </c:pt>
                <c:pt idx="6">
                  <c:v>370569.21778295178</c:v>
                </c:pt>
                <c:pt idx="7">
                  <c:v>366775.31102186791</c:v>
                </c:pt>
                <c:pt idx="8">
                  <c:v>363190.52497582306</c:v>
                </c:pt>
                <c:pt idx="9">
                  <c:v>359790.81135436572</c:v>
                </c:pt>
                <c:pt idx="10">
                  <c:v>356556.40294251841</c:v>
                </c:pt>
                <c:pt idx="11">
                  <c:v>353470.74802251766</c:v>
                </c:pt>
                <c:pt idx="12">
                  <c:v>350519.7594518516</c:v>
                </c:pt>
                <c:pt idx="13">
                  <c:v>347691.27159981907</c:v>
                </c:pt>
                <c:pt idx="14">
                  <c:v>344974.63870980369</c:v>
                </c:pt>
                <c:pt idx="15">
                  <c:v>342360.43197293096</c:v>
                </c:pt>
                <c:pt idx="16">
                  <c:v>339840.20704926195</c:v>
                </c:pt>
                <c:pt idx="17">
                  <c:v>337406.32285816589</c:v>
                </c:pt>
                <c:pt idx="18">
                  <c:v>335051.79833197762</c:v>
                </c:pt>
                <c:pt idx="19">
                  <c:v>332770.19771687372</c:v>
                </c:pt>
                <c:pt idx="20">
                  <c:v>330555.53763834399</c:v>
                </c:pt>
                <c:pt idx="21">
                  <c:v>328402.21096683957</c:v>
                </c:pt>
                <c:pt idx="22">
                  <c:v>326304.92379693151</c:v>
                </c:pt>
                <c:pt idx="23">
                  <c:v>324258.64276581822</c:v>
                </c:pt>
                <c:pt idx="24">
                  <c:v>322258.55059830536</c:v>
                </c:pt>
                <c:pt idx="25">
                  <c:v>320300.00825106644</c:v>
                </c:pt>
                <c:pt idx="26">
                  <c:v>318378.52239014959</c:v>
                </c:pt>
                <c:pt idx="27">
                  <c:v>316489.71720728913</c:v>
                </c:pt>
                <c:pt idx="28">
                  <c:v>314629.30978701601</c:v>
                </c:pt>
                <c:pt idx="29">
                  <c:v>312793.08839496173</c:v>
                </c:pt>
                <c:pt idx="30">
                  <c:v>310976.89318043471</c:v>
                </c:pt>
                <c:pt idx="31">
                  <c:v>309176.59888214694</c:v>
                </c:pt>
                <c:pt idx="32">
                  <c:v>307388.09920137736</c:v>
                </c:pt>
                <c:pt idx="33">
                  <c:v>305607.29256665095</c:v>
                </c:pt>
                <c:pt idx="34">
                  <c:v>303830.06906174886</c:v>
                </c:pt>
                <c:pt idx="35">
                  <c:v>302052.29832722351</c:v>
                </c:pt>
                <c:pt idx="36">
                  <c:v>300269.81827660487</c:v>
                </c:pt>
                <c:pt idx="37">
                  <c:v>298478.42449369858</c:v>
                </c:pt>
                <c:pt idx="38">
                  <c:v>296673.86019798467</c:v>
                </c:pt>
                <c:pt idx="39">
                  <c:v>294851.80668205884</c:v>
                </c:pt>
                <c:pt idx="40">
                  <c:v>293007.87413903838</c:v>
                </c:pt>
                <c:pt idx="41">
                  <c:v>291137.59280943929</c:v>
                </c:pt>
                <c:pt idx="42">
                  <c:v>289236.40438668698</c:v>
                </c:pt>
                <c:pt idx="43">
                  <c:v>287299.65362848435</c:v>
                </c:pt>
                <c:pt idx="44">
                  <c:v>285322.58012803749</c:v>
                </c:pt>
                <c:pt idx="45">
                  <c:v>283300.31020483177</c:v>
                </c:pt>
                <c:pt idx="46">
                  <c:v>281227.84887947468</c:v>
                </c:pt>
                <c:pt idx="47">
                  <c:v>279100.07190119667</c:v>
                </c:pt>
                <c:pt idx="48">
                  <c:v>276911.71780007443</c:v>
                </c:pt>
                <c:pt idx="49">
                  <c:v>274657.37993899314</c:v>
                </c:pt>
                <c:pt idx="50">
                  <c:v>272331.49854289211</c:v>
                </c:pt>
                <c:pt idx="51">
                  <c:v>269928.35268500034</c:v>
                </c:pt>
                <c:pt idx="52">
                  <c:v>267442.05221162044</c:v>
                </c:pt>
                <c:pt idx="53">
                  <c:v>264866.52958861901</c:v>
                </c:pt>
                <c:pt idx="54">
                  <c:v>262195.53165415145</c:v>
                </c:pt>
                <c:pt idx="55">
                  <c:v>259422.61126333397</c:v>
                </c:pt>
                <c:pt idx="56">
                  <c:v>256541.1188115995</c:v>
                </c:pt>
                <c:pt idx="57">
                  <c:v>253544.19362435659</c:v>
                </c:pt>
                <c:pt idx="58">
                  <c:v>250424.75520133469</c:v>
                </c:pt>
                <c:pt idx="59">
                  <c:v>247175.49430466082</c:v>
                </c:pt>
                <c:pt idx="60">
                  <c:v>243788.86388028748</c:v>
                </c:pt>
                <c:pt idx="61">
                  <c:v>240257.0698028811</c:v>
                </c:pt>
                <c:pt idx="62">
                  <c:v>236572.06143471462</c:v>
                </c:pt>
                <c:pt idx="63">
                  <c:v>232725.52198947591</c:v>
                </c:pt>
                <c:pt idx="64">
                  <c:v>228708.8586922203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6-4299-8677-4B014ACF176C}"/>
            </c:ext>
          </c:extLst>
        </c:ser>
        <c:ser>
          <c:idx val="1"/>
          <c:order val="9"/>
          <c:tx>
            <c:v>H=1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EDisponible!$V$20:$V$84</c:f>
              <c:numCache>
                <c:formatCode>General</c:formatCode>
                <c:ptCount val="65"/>
                <c:pt idx="0">
                  <c:v>334236.46517328115</c:v>
                </c:pt>
                <c:pt idx="1">
                  <c:v>329339.72843682423</c:v>
                </c:pt>
                <c:pt idx="2">
                  <c:v>325045.46704388177</c:v>
                </c:pt>
                <c:pt idx="3">
                  <c:v>321226.93330681021</c:v>
                </c:pt>
                <c:pt idx="4">
                  <c:v>317800.95200322341</c:v>
                </c:pt>
                <c:pt idx="5">
                  <c:v>314709.30068997206</c:v>
                </c:pt>
                <c:pt idx="6">
                  <c:v>311909.24120599497</c:v>
                </c:pt>
                <c:pt idx="7">
                  <c:v>309368.23837693606</c:v>
                </c:pt>
                <c:pt idx="8">
                  <c:v>307060.80180438125</c:v>
                </c:pt>
                <c:pt idx="9">
                  <c:v>304966.49141260918</c:v>
                </c:pt>
                <c:pt idx="10">
                  <c:v>303068.60131779587</c:v>
                </c:pt>
                <c:pt idx="11">
                  <c:v>301353.2592546143</c:v>
                </c:pt>
                <c:pt idx="12">
                  <c:v>299808.79130058875</c:v>
                </c:pt>
                <c:pt idx="13">
                  <c:v>298425.26196016144</c:v>
                </c:pt>
                <c:pt idx="14">
                  <c:v>297194.13365650852</c:v>
                </c:pt>
                <c:pt idx="15">
                  <c:v>296108.00965019141</c:v>
                </c:pt>
                <c:pt idx="16">
                  <c:v>295160.4365717147</c:v>
                </c:pt>
                <c:pt idx="17">
                  <c:v>294345.7504059567</c:v>
                </c:pt>
                <c:pt idx="18">
                  <c:v>293658.95471207483</c:v>
                </c:pt>
                <c:pt idx="19">
                  <c:v>293095.62313872651</c:v>
                </c:pt>
                <c:pt idx="20">
                  <c:v>292651.82051278109</c:v>
                </c:pt>
                <c:pt idx="21">
                  <c:v>292324.03831155412</c:v>
                </c:pt>
                <c:pt idx="22">
                  <c:v>292109.14140531869</c:v>
                </c:pt>
                <c:pt idx="23">
                  <c:v>292004.32372599276</c:v>
                </c:pt>
                <c:pt idx="24">
                  <c:v>291595.62480559025</c:v>
                </c:pt>
                <c:pt idx="25">
                  <c:v>290027.42136903282</c:v>
                </c:pt>
                <c:pt idx="26">
                  <c:v>288499.48121639621</c:v>
                </c:pt>
                <c:pt idx="27">
                  <c:v>287008.0270815554</c:v>
                </c:pt>
                <c:pt idx="28">
                  <c:v>285549.36494093604</c:v>
                </c:pt>
                <c:pt idx="29">
                  <c:v>284119.86536267243</c:v>
                </c:pt>
                <c:pt idx="30">
                  <c:v>282715.94689293788</c:v>
                </c:pt>
                <c:pt idx="31">
                  <c:v>281334.0611324808</c:v>
                </c:pt>
                <c:pt idx="32">
                  <c:v>279970.6792199199</c:v>
                </c:pt>
                <c:pt idx="33">
                  <c:v>278622.27948873327</c:v>
                </c:pt>
                <c:pt idx="34">
                  <c:v>277285.33610509167</c:v>
                </c:pt>
                <c:pt idx="35">
                  <c:v>275956.30852601147</c:v>
                </c:pt>
                <c:pt idx="36">
                  <c:v>274631.63164343429</c:v>
                </c:pt>
                <c:pt idx="37">
                  <c:v>273307.7065010877</c:v>
                </c:pt>
                <c:pt idx="38">
                  <c:v>271980.89148835442</c:v>
                </c:pt>
                <c:pt idx="39">
                  <c:v>270647.49392964615</c:v>
                </c:pt>
                <c:pt idx="40">
                  <c:v>269303.76199956052</c:v>
                </c:pt>
                <c:pt idx="41">
                  <c:v>267945.87690387352</c:v>
                </c:pt>
                <c:pt idx="42">
                  <c:v>266569.94527454727</c:v>
                </c:pt>
                <c:pt idx="43">
                  <c:v>265171.99173374608</c:v>
                </c:pt>
                <c:pt idx="44">
                  <c:v>263747.9515875504</c:v>
                </c:pt>
                <c:pt idx="45">
                  <c:v>262293.66361487116</c:v>
                </c:pt>
                <c:pt idx="46">
                  <c:v>260804.86292112892</c:v>
                </c:pt>
                <c:pt idx="47">
                  <c:v>259277.17382969995</c:v>
                </c:pt>
                <c:pt idx="48">
                  <c:v>257706.10278705705</c:v>
                </c:pt>
                <c:pt idx="49">
                  <c:v>256087.03126003058</c:v>
                </c:pt>
                <c:pt idx="50">
                  <c:v>254415.20860573874</c:v>
                </c:pt>
                <c:pt idx="51">
                  <c:v>252685.74489656027</c:v>
                </c:pt>
                <c:pt idx="52">
                  <c:v>250893.60368409174</c:v>
                </c:pt>
                <c:pt idx="53">
                  <c:v>249033.59468736945</c:v>
                </c:pt>
                <c:pt idx="54">
                  <c:v>247100.3663917993</c:v>
                </c:pt>
                <c:pt idx="55">
                  <c:v>245088.39854622984</c:v>
                </c:pt>
                <c:pt idx="56">
                  <c:v>242991.99454647326</c:v>
                </c:pt>
                <c:pt idx="57">
                  <c:v>240805.27369431366</c:v>
                </c:pt>
                <c:pt idx="58">
                  <c:v>238522.16332169148</c:v>
                </c:pt>
                <c:pt idx="59">
                  <c:v>236136.39077031068</c:v>
                </c:pt>
                <c:pt idx="60">
                  <c:v>233641.47521738583</c:v>
                </c:pt>
                <c:pt idx="61">
                  <c:v>231030.71933867698</c:v>
                </c:pt>
                <c:pt idx="62">
                  <c:v>228297.20080030622</c:v>
                </c:pt>
                <c:pt idx="63">
                  <c:v>225433.76357116643</c:v>
                </c:pt>
                <c:pt idx="64">
                  <c:v>222433.00904799977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96-4299-8677-4B014ACF176C}"/>
            </c:ext>
          </c:extLst>
        </c:ser>
        <c:ser>
          <c:idx val="2"/>
          <c:order val="10"/>
          <c:tx>
            <c:v>H=2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EDisponible!$AB$20:$AB$84</c:f>
              <c:numCache>
                <c:formatCode>General</c:formatCode>
                <c:ptCount val="65"/>
                <c:pt idx="0">
                  <c:v>276862.60412427573</c:v>
                </c:pt>
                <c:pt idx="1">
                  <c:v>272775.07142245333</c:v>
                </c:pt>
                <c:pt idx="2">
                  <c:v>269193.45778318925</c:v>
                </c:pt>
                <c:pt idx="3">
                  <c:v>266011.64432018233</c:v>
                </c:pt>
                <c:pt idx="4">
                  <c:v>263159.97879810218</c:v>
                </c:pt>
                <c:pt idx="5">
                  <c:v>260589.69493708402</c:v>
                </c:pt>
                <c:pt idx="6">
                  <c:v>258264.98898923802</c:v>
                </c:pt>
                <c:pt idx="7">
                  <c:v>256158.60003845178</c:v>
                </c:pt>
                <c:pt idx="8">
                  <c:v>254249.16687711369</c:v>
                </c:pt>
                <c:pt idx="9">
                  <c:v>252519.55873164773</c:v>
                </c:pt>
                <c:pt idx="10">
                  <c:v>250955.77363614019</c:v>
                </c:pt>
                <c:pt idx="11">
                  <c:v>249546.18457401154</c:v>
                </c:pt>
                <c:pt idx="12">
                  <c:v>248281.00764869625</c:v>
                </c:pt>
                <c:pt idx="13">
                  <c:v>247151.91702030363</c:v>
                </c:pt>
                <c:pt idx="14">
                  <c:v>246151.75978462372</c:v>
                </c:pt>
                <c:pt idx="15">
                  <c:v>245274.34068283299</c:v>
                </c:pt>
                <c:pt idx="16">
                  <c:v>244514.25671274634</c:v>
                </c:pt>
                <c:pt idx="17">
                  <c:v>243866.76811507836</c:v>
                </c:pt>
                <c:pt idx="18">
                  <c:v>243327.6963469839</c:v>
                </c:pt>
                <c:pt idx="19">
                  <c:v>242893.34239698388</c:v>
                </c:pt>
                <c:pt idx="20">
                  <c:v>242560.42065191231</c:v>
                </c:pt>
                <c:pt idx="21">
                  <c:v>242326.00480857198</c:v>
                </c:pt>
                <c:pt idx="22">
                  <c:v>242187.48322394607</c:v>
                </c:pt>
                <c:pt idx="23">
                  <c:v>242142.52174157125</c:v>
                </c:pt>
                <c:pt idx="24">
                  <c:v>242189.03249833838</c:v>
                </c:pt>
                <c:pt idx="25">
                  <c:v>242325.14755887157</c:v>
                </c:pt>
                <c:pt idx="26">
                  <c:v>242549.19647972318</c:v>
                </c:pt>
                <c:pt idx="27">
                  <c:v>242859.68709754501</c:v>
                </c:pt>
                <c:pt idx="28">
                  <c:v>243255.28898137427</c:v>
                </c:pt>
                <c:pt idx="29">
                  <c:v>243734.81910126211</c:v>
                </c:pt>
                <c:pt idx="30">
                  <c:v>244297.22935235463</c:v>
                </c:pt>
                <c:pt idx="31">
                  <c:v>244941.59564145177</c:v>
                </c:pt>
                <c:pt idx="32">
                  <c:v>245667.10829658582</c:v>
                </c:pt>
                <c:pt idx="33">
                  <c:v>246473.06360264076</c:v>
                </c:pt>
                <c:pt idx="34">
                  <c:v>247358.85630000907</c:v>
                </c:pt>
                <c:pt idx="35">
                  <c:v>248323.97291061073</c:v>
                </c:pt>
                <c:pt idx="36">
                  <c:v>247853.48950802637</c:v>
                </c:pt>
                <c:pt idx="37">
                  <c:v>246913.9909916769</c:v>
                </c:pt>
                <c:pt idx="38">
                  <c:v>245979.33705203244</c:v>
                </c:pt>
                <c:pt idx="39">
                  <c:v>245046.39460820096</c:v>
                </c:pt>
                <c:pt idx="40">
                  <c:v>244111.981760155</c:v>
                </c:pt>
                <c:pt idx="41">
                  <c:v>243172.86091096228</c:v>
                </c:pt>
                <c:pt idx="42">
                  <c:v>242225.73206459556</c:v>
                </c:pt>
                <c:pt idx="43">
                  <c:v>241267.22626109983</c:v>
                </c:pt>
                <c:pt idx="44">
                  <c:v>240293.89911567181</c:v>
                </c:pt>
                <c:pt idx="45">
                  <c:v>239302.2244322428</c:v>
                </c:pt>
                <c:pt idx="46">
                  <c:v>238288.58786555473</c:v>
                </c:pt>
                <c:pt idx="47">
                  <c:v>237249.2806086106</c:v>
                </c:pt>
                <c:pt idx="48">
                  <c:v>236180.49308482822</c:v>
                </c:pt>
                <c:pt idx="49">
                  <c:v>235078.30862631954</c:v>
                </c:pt>
                <c:pt idx="50">
                  <c:v>233938.69712150196</c:v>
                </c:pt>
                <c:pt idx="51">
                  <c:v>232757.50861677658</c:v>
                </c:pt>
                <c:pt idx="52">
                  <c:v>231530.46685831877</c:v>
                </c:pt>
                <c:pt idx="53">
                  <c:v>230253.16276115685</c:v>
                </c:pt>
                <c:pt idx="54">
                  <c:v>228921.04779367952</c:v>
                </c:pt>
                <c:pt idx="55">
                  <c:v>227529.42726655334</c:v>
                </c:pt>
                <c:pt idx="56">
                  <c:v>226073.45351574896</c:v>
                </c:pt>
                <c:pt idx="57">
                  <c:v>224548.11897000103</c:v>
                </c:pt>
                <c:pt idx="58">
                  <c:v>222948.24909356178</c:v>
                </c:pt>
                <c:pt idx="59">
                  <c:v>221268.49519557614</c:v>
                </c:pt>
                <c:pt idx="60">
                  <c:v>219503.32709780298</c:v>
                </c:pt>
                <c:pt idx="61">
                  <c:v>217647.02565276122</c:v>
                </c:pt>
                <c:pt idx="62">
                  <c:v>215693.67510467014</c:v>
                </c:pt>
                <c:pt idx="63">
                  <c:v>213637.15528581769</c:v>
                </c:pt>
                <c:pt idx="64">
                  <c:v>211471.13364120925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96-4299-8677-4B014ACF176C}"/>
            </c:ext>
          </c:extLst>
        </c:ser>
        <c:ser>
          <c:idx val="3"/>
          <c:order val="11"/>
          <c:tx>
            <c:v>H=3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EDisponible!$AH$20:$AH$84</c:f>
              <c:numCache>
                <c:formatCode>General</c:formatCode>
                <c:ptCount val="65"/>
                <c:pt idx="0">
                  <c:v>227745.37994044076</c:v>
                </c:pt>
                <c:pt idx="1">
                  <c:v>224356.24323601104</c:v>
                </c:pt>
                <c:pt idx="2">
                  <c:v>221389.24380271847</c:v>
                </c:pt>
                <c:pt idx="3">
                  <c:v>218756.1133526059</c:v>
                </c:pt>
                <c:pt idx="4">
                  <c:v>216398.90358652564</c:v>
                </c:pt>
                <c:pt idx="5">
                  <c:v>214277.03395216566</c:v>
                </c:pt>
                <c:pt idx="6">
                  <c:v>212360.70461323031</c:v>
                </c:pt>
                <c:pt idx="7">
                  <c:v>210627.22200372737</c:v>
                </c:pt>
                <c:pt idx="8">
                  <c:v>209058.801259806</c:v>
                </c:pt>
                <c:pt idx="9">
                  <c:v>207641.17824193768</c:v>
                </c:pt>
                <c:pt idx="10">
                  <c:v>206362.69347671335</c:v>
                </c:pt>
                <c:pt idx="11">
                  <c:v>205213.66523017568</c:v>
                </c:pt>
                <c:pt idx="12">
                  <c:v>204185.9471823184</c:v>
                </c:pt>
                <c:pt idx="13">
                  <c:v>203272.60813285236</c:v>
                </c:pt>
                <c:pt idx="14">
                  <c:v>202467.69481032461</c:v>
                </c:pt>
                <c:pt idx="15">
                  <c:v>201766.05274977986</c:v>
                </c:pt>
                <c:pt idx="16">
                  <c:v>201163.18866932034</c:v>
                </c:pt>
                <c:pt idx="17">
                  <c:v>200655.16309880713</c:v>
                </c:pt>
                <c:pt idx="18">
                  <c:v>200238.5054548867</c:v>
                </c:pt>
                <c:pt idx="19">
                  <c:v>199910.14603609068</c:v>
                </c:pt>
                <c:pt idx="20">
                  <c:v>199667.36095533319</c:v>
                </c:pt>
                <c:pt idx="21">
                  <c:v>199507.72709308294</c:v>
                </c:pt>
                <c:pt idx="22">
                  <c:v>199429.08490379006</c:v>
                </c:pt>
                <c:pt idx="23">
                  <c:v>199429.50744342734</c:v>
                </c:pt>
                <c:pt idx="24">
                  <c:v>199507.27437404735</c:v>
                </c:pt>
                <c:pt idx="25">
                  <c:v>199660.84998639708</c:v>
                </c:pt>
                <c:pt idx="26">
                  <c:v>199888.86449374186</c:v>
                </c:pt>
                <c:pt idx="27">
                  <c:v>200190.09800967755</c:v>
                </c:pt>
                <c:pt idx="28">
                  <c:v>200563.46674410003</c:v>
                </c:pt>
                <c:pt idx="29">
                  <c:v>201008.01104473195</c:v>
                </c:pt>
                <c:pt idx="30">
                  <c:v>201522.88498386682</c:v>
                </c:pt>
                <c:pt idx="31">
                  <c:v>202107.34724648451</c:v>
                </c:pt>
                <c:pt idx="32">
                  <c:v>202760.75312040147</c:v>
                </c:pt>
                <c:pt idx="33">
                  <c:v>203482.54742446353</c:v>
                </c:pt>
                <c:pt idx="34">
                  <c:v>204272.25823904554</c:v>
                </c:pt>
                <c:pt idx="35">
                  <c:v>205129.49132586599</c:v>
                </c:pt>
                <c:pt idx="36">
                  <c:v>206053.92514254642</c:v>
                </c:pt>
                <c:pt idx="37">
                  <c:v>207045.30637235235</c:v>
                </c:pt>
                <c:pt idx="38">
                  <c:v>208103.44590185027</c:v>
                </c:pt>
                <c:pt idx="39">
                  <c:v>209228.21518934079</c:v>
                </c:pt>
                <c:pt idx="40">
                  <c:v>210419.54297531708</c:v>
                </c:pt>
                <c:pt idx="41">
                  <c:v>211677.41229316397</c:v>
                </c:pt>
                <c:pt idx="42">
                  <c:v>213001.85774414925</c:v>
                </c:pt>
                <c:pt idx="43">
                  <c:v>214392.96300564011</c:v>
                </c:pt>
                <c:pt idx="44">
                  <c:v>215850.85854560675</c:v>
                </c:pt>
                <c:pt idx="45">
                  <c:v>215361.26124199288</c:v>
                </c:pt>
                <c:pt idx="46">
                  <c:v>214728.19023571484</c:v>
                </c:pt>
                <c:pt idx="47">
                  <c:v>214079.90882189752</c:v>
                </c:pt>
                <c:pt idx="48">
                  <c:v>213413.21323244835</c:v>
                </c:pt>
                <c:pt idx="49">
                  <c:v>212724.80839919843</c:v>
                </c:pt>
                <c:pt idx="50">
                  <c:v>212011.30231877591</c:v>
                </c:pt>
                <c:pt idx="51">
                  <c:v>211269.20037138966</c:v>
                </c:pt>
                <c:pt idx="52">
                  <c:v>210494.89958143531</c:v>
                </c:pt>
                <c:pt idx="53">
                  <c:v>209684.68280877228</c:v>
                </c:pt>
                <c:pt idx="54">
                  <c:v>208834.71286032625</c:v>
                </c:pt>
                <c:pt idx="55">
                  <c:v>207941.02651237269</c:v>
                </c:pt>
                <c:pt idx="56">
                  <c:v>206999.5284344517</c:v>
                </c:pt>
                <c:pt idx="57">
                  <c:v>206005.985006387</c:v>
                </c:pt>
                <c:pt idx="58">
                  <c:v>204956.01802032415</c:v>
                </c:pt>
                <c:pt idx="59">
                  <c:v>203845.09826009371</c:v>
                </c:pt>
                <c:pt idx="60">
                  <c:v>202668.53895053599</c:v>
                </c:pt>
                <c:pt idx="61">
                  <c:v>201421.48906970941</c:v>
                </c:pt>
                <c:pt idx="62">
                  <c:v>200098.92651715546</c:v>
                </c:pt>
                <c:pt idx="63">
                  <c:v>198695.65113160346</c:v>
                </c:pt>
                <c:pt idx="64">
                  <c:v>197206.27755167973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96-4299-8677-4B014ACF176C}"/>
            </c:ext>
          </c:extLst>
        </c:ser>
        <c:ser>
          <c:idx val="4"/>
          <c:order val="12"/>
          <c:tx>
            <c:v>H=4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EDisponible!$AN$20:$AN$84</c:f>
              <c:numCache>
                <c:formatCode>General</c:formatCode>
                <c:ptCount val="65"/>
                <c:pt idx="0">
                  <c:v>185941.95939726426</c:v>
                </c:pt>
                <c:pt idx="1">
                  <c:v>183152.21965319422</c:v>
                </c:pt>
                <c:pt idx="2">
                  <c:v>180712.3015169237</c:v>
                </c:pt>
                <c:pt idx="3">
                  <c:v>178549.29974566438</c:v>
                </c:pt>
                <c:pt idx="4">
                  <c:v>176615.34097112293</c:v>
                </c:pt>
                <c:pt idx="5">
                  <c:v>174876.89246838962</c:v>
                </c:pt>
                <c:pt idx="6">
                  <c:v>173309.32473766958</c:v>
                </c:pt>
                <c:pt idx="7">
                  <c:v>171893.8781792557</c:v>
                </c:pt>
                <c:pt idx="8">
                  <c:v>170615.84884167369</c:v>
                </c:pt>
                <c:pt idx="9">
                  <c:v>169463.4424599034</c:v>
                </c:pt>
                <c:pt idx="10">
                  <c:v>168427.01806229542</c:v>
                </c:pt>
                <c:pt idx="11">
                  <c:v>167498.57026508707</c:v>
                </c:pt>
                <c:pt idx="12">
                  <c:v>166671.36396846198</c:v>
                </c:pt>
                <c:pt idx="13">
                  <c:v>165939.66980350338</c:v>
                </c:pt>
                <c:pt idx="14">
                  <c:v>165298.56819453879</c:v>
                </c:pt>
                <c:pt idx="15">
                  <c:v>164743.80136962674</c:v>
                </c:pt>
                <c:pt idx="16">
                  <c:v>164271.65963975716</c:v>
                </c:pt>
                <c:pt idx="17">
                  <c:v>163878.89266139604</c:v>
                </c:pt>
                <c:pt idx="18">
                  <c:v>163562.63923757305</c:v>
                </c:pt>
                <c:pt idx="19">
                  <c:v>163320.37109459948</c:v>
                </c:pt>
                <c:pt idx="20">
                  <c:v>163149.84734582761</c:v>
                </c:pt>
                <c:pt idx="21">
                  <c:v>163049.07723391466</c:v>
                </c:pt>
                <c:pt idx="22">
                  <c:v>163016.28936169163</c:v>
                </c:pt>
                <c:pt idx="23">
                  <c:v>163049.90606369174</c:v>
                </c:pt>
                <c:pt idx="24">
                  <c:v>163148.52189079809</c:v>
                </c:pt>
                <c:pt idx="25">
                  <c:v>163310.88541590347</c:v>
                </c:pt>
                <c:pt idx="26">
                  <c:v>163535.88374363829</c:v>
                </c:pt>
                <c:pt idx="27">
                  <c:v>163822.52923902863</c:v>
                </c:pt>
                <c:pt idx="28">
                  <c:v>164169.948090199</c:v>
                </c:pt>
                <c:pt idx="29">
                  <c:v>164577.3703972279</c:v>
                </c:pt>
                <c:pt idx="30">
                  <c:v>165044.12153894731</c:v>
                </c:pt>
                <c:pt idx="31">
                  <c:v>165569.61461612998</c:v>
                </c:pt>
                <c:pt idx="32">
                  <c:v>166153.343806283</c:v>
                </c:pt>
                <c:pt idx="33">
                  <c:v>166794.87849445411</c:v>
                </c:pt>
                <c:pt idx="34">
                  <c:v>167493.8580678023</c:v>
                </c:pt>
                <c:pt idx="35">
                  <c:v>168249.98728047282</c:v>
                </c:pt>
                <c:pt idx="36">
                  <c:v>169063.03211053752</c:v>
                </c:pt>
                <c:pt idx="37">
                  <c:v>169932.81604315824</c:v>
                </c:pt>
                <c:pt idx="38">
                  <c:v>170859.21672429668</c:v>
                </c:pt>
                <c:pt idx="39">
                  <c:v>171842.16293765546</c:v>
                </c:pt>
                <c:pt idx="40">
                  <c:v>172881.6318644727</c:v>
                </c:pt>
                <c:pt idx="41">
                  <c:v>173977.64659154764</c:v>
                </c:pt>
                <c:pt idx="42">
                  <c:v>175130.27383769734</c:v>
                </c:pt>
                <c:pt idx="43">
                  <c:v>176339.62187288346</c:v>
                </c:pt>
                <c:pt idx="44">
                  <c:v>177605.8386076529</c:v>
                </c:pt>
                <c:pt idx="45">
                  <c:v>178929.10983342474</c:v>
                </c:pt>
                <c:pt idx="46">
                  <c:v>180309.65759659346</c:v>
                </c:pt>
                <c:pt idx="47">
                  <c:v>181747.73869151494</c:v>
                </c:pt>
                <c:pt idx="48">
                  <c:v>183243.64325921735</c:v>
                </c:pt>
                <c:pt idx="49">
                  <c:v>184797.69348021675</c:v>
                </c:pt>
                <c:pt idx="50">
                  <c:v>186410.24235112834</c:v>
                </c:pt>
                <c:pt idx="51">
                  <c:v>188081.67253590858</c:v>
                </c:pt>
                <c:pt idx="52">
                  <c:v>188722.16304514927</c:v>
                </c:pt>
                <c:pt idx="53">
                  <c:v>188279.2078179649</c:v>
                </c:pt>
                <c:pt idx="54">
                  <c:v>187808.65781557065</c:v>
                </c:pt>
                <c:pt idx="55">
                  <c:v>187307.19423498659</c:v>
                </c:pt>
                <c:pt idx="56">
                  <c:v>186771.38472992275</c:v>
                </c:pt>
                <c:pt idx="57">
                  <c:v>186197.67792052004</c:v>
                </c:pt>
                <c:pt idx="58">
                  <c:v>185582.39779743165</c:v>
                </c:pt>
                <c:pt idx="59">
                  <c:v>184921.73801343027</c:v>
                </c:pt>
                <c:pt idx="60">
                  <c:v>184211.75605600036</c:v>
                </c:pt>
                <c:pt idx="61">
                  <c:v>183448.36729461217</c:v>
                </c:pt>
                <c:pt idx="62">
                  <c:v>182627.33889657291</c:v>
                </c:pt>
                <c:pt idx="63">
                  <c:v>181744.28360553074</c:v>
                </c:pt>
                <c:pt idx="64">
                  <c:v>180794.65337684896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96-4299-8677-4B014ACF176C}"/>
            </c:ext>
          </c:extLst>
        </c:ser>
        <c:ser>
          <c:idx val="5"/>
          <c:order val="13"/>
          <c:tx>
            <c:v>H=5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EDisponible!$AT$20:$AT$84</c:f>
              <c:numCache>
                <c:formatCode>General</c:formatCode>
                <c:ptCount val="65"/>
                <c:pt idx="0">
                  <c:v>150587.08192722261</c:v>
                </c:pt>
                <c:pt idx="1">
                  <c:v>148308.67613790097</c:v>
                </c:pt>
                <c:pt idx="2">
                  <c:v>146318.02622370634</c:v>
                </c:pt>
                <c:pt idx="3">
                  <c:v>144555.37205127068</c:v>
                </c:pt>
                <c:pt idx="4">
                  <c:v>142981.46249281822</c:v>
                </c:pt>
                <c:pt idx="5">
                  <c:v>141568.79772747718</c:v>
                </c:pt>
                <c:pt idx="6">
                  <c:v>140297.17496589827</c:v>
                </c:pt>
                <c:pt idx="7">
                  <c:v>139151.20343277784</c:v>
                </c:pt>
                <c:pt idx="8">
                  <c:v>138118.81795669219</c:v>
                </c:pt>
                <c:pt idx="9">
                  <c:v>137190.34001140355</c:v>
                </c:pt>
                <c:pt idx="10">
                  <c:v>136357.85789803416</c:v>
                </c:pt>
                <c:pt idx="11">
                  <c:v>135614.80247291495</c:v>
                </c:pt>
                <c:pt idx="12">
                  <c:v>134955.64773737919</c:v>
                </c:pt>
                <c:pt idx="13">
                  <c:v>134375.69397706931</c:v>
                </c:pt>
                <c:pt idx="14">
                  <c:v>133870.90712433326</c:v>
                </c:pt>
                <c:pt idx="15">
                  <c:v>133437.797411818</c:v>
                </c:pt>
                <c:pt idx="16">
                  <c:v>133073.32610977374</c:v>
                </c:pt>
                <c:pt idx="17">
                  <c:v>132774.8327392783</c:v>
                </c:pt>
                <c:pt idx="18">
                  <c:v>132539.97748070644</c:v>
                </c:pt>
                <c:pt idx="19">
                  <c:v>132366.69503853243</c:v>
                </c:pt>
                <c:pt idx="20">
                  <c:v>132253.15726760455</c:v>
                </c:pt>
                <c:pt idx="21">
                  <c:v>132197.74258706821</c:v>
                </c:pt>
                <c:pt idx="22">
                  <c:v>132199.01071500129</c:v>
                </c:pt>
                <c:pt idx="23">
                  <c:v>132255.6816189489</c:v>
                </c:pt>
                <c:pt idx="24">
                  <c:v>132366.61784009167</c:v>
                </c:pt>
                <c:pt idx="25">
                  <c:v>132530.80954170923</c:v>
                </c:pt>
                <c:pt idx="26">
                  <c:v>132747.36177613662</c:v>
                </c:pt>
                <c:pt idx="27">
                  <c:v>133015.48357244002</c:v>
                </c:pt>
                <c:pt idx="28">
                  <c:v>133334.4785291923</c:v>
                </c:pt>
                <c:pt idx="29">
                  <c:v>133703.73665983928</c:v>
                </c:pt>
                <c:pt idx="30">
                  <c:v>134122.7272870618</c:v>
                </c:pt>
                <c:pt idx="31">
                  <c:v>134590.9928207855</c:v>
                </c:pt>
                <c:pt idx="32">
                  <c:v>135108.14328463087</c:v>
                </c:pt>
                <c:pt idx="33">
                  <c:v>135673.85147952675</c:v>
                </c:pt>
                <c:pt idx="34">
                  <c:v>136287.84869234831</c:v>
                </c:pt>
                <c:pt idx="35">
                  <c:v>136949.92087284787</c:v>
                </c:pt>
                <c:pt idx="36">
                  <c:v>137659.90521462404</c:v>
                </c:pt>
                <c:pt idx="37">
                  <c:v>138417.68708604251</c:v>
                </c:pt>
                <c:pt idx="38">
                  <c:v>139223.19726535445</c:v>
                </c:pt>
                <c:pt idx="39">
                  <c:v>140076.4094411238</c:v>
                </c:pt>
                <c:pt idx="40">
                  <c:v>140977.33794475385</c:v>
                </c:pt>
                <c:pt idx="41">
                  <c:v>141926.03568663393</c:v>
                </c:pt>
                <c:pt idx="42">
                  <c:v>142922.59227137646</c:v>
                </c:pt>
                <c:pt idx="43">
                  <c:v>143967.1322709306</c:v>
                </c:pt>
                <c:pt idx="44">
                  <c:v>145059.81363715307</c:v>
                </c:pt>
                <c:pt idx="45">
                  <c:v>146200.82623778196</c:v>
                </c:pt>
                <c:pt idx="46">
                  <c:v>147390.39050176713</c:v>
                </c:pt>
                <c:pt idx="47">
                  <c:v>148628.75616162177</c:v>
                </c:pt>
                <c:pt idx="48">
                  <c:v>149916.20108192565</c:v>
                </c:pt>
                <c:pt idx="49">
                  <c:v>151253.03016436525</c:v>
                </c:pt>
                <c:pt idx="50">
                  <c:v>152639.57432077656</c:v>
                </c:pt>
                <c:pt idx="51">
                  <c:v>154076.18950659374</c:v>
                </c:pt>
                <c:pt idx="52">
                  <c:v>155563.25580790994</c:v>
                </c:pt>
                <c:pt idx="53">
                  <c:v>157101.17657606371</c:v>
                </c:pt>
                <c:pt idx="54">
                  <c:v>158690.37760427091</c:v>
                </c:pt>
                <c:pt idx="55">
                  <c:v>160331.30634135997</c:v>
                </c:pt>
                <c:pt idx="56">
                  <c:v>162024.43113812877</c:v>
                </c:pt>
                <c:pt idx="57">
                  <c:v>163770.24052225839</c:v>
                </c:pt>
                <c:pt idx="58">
                  <c:v>165569.24249807026</c:v>
                </c:pt>
                <c:pt idx="59">
                  <c:v>165359.44330506778</c:v>
                </c:pt>
                <c:pt idx="60">
                  <c:v>165011.45489078524</c:v>
                </c:pt>
                <c:pt idx="61">
                  <c:v>164624.04513171015</c:v>
                </c:pt>
                <c:pt idx="62">
                  <c:v>164193.67433160148</c:v>
                </c:pt>
                <c:pt idx="63">
                  <c:v>163716.66950262233</c:v>
                </c:pt>
                <c:pt idx="64">
                  <c:v>163189.218716159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B96-4299-8677-4B014ACF176C}"/>
            </c:ext>
          </c:extLst>
        </c:ser>
        <c:ser>
          <c:idx val="6"/>
          <c:order val="14"/>
          <c:tx>
            <c:v>H=6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EDisponible!$AZ$20:$AZ$84</c:f>
              <c:numCache>
                <c:formatCode>General</c:formatCode>
                <c:ptCount val="65"/>
                <c:pt idx="0">
                  <c:v>120889.344086343</c:v>
                </c:pt>
                <c:pt idx="1">
                  <c:v>119044.30609208034</c:v>
                </c:pt>
                <c:pt idx="2">
                  <c:v>117434.08080146959</c:v>
                </c:pt>
                <c:pt idx="3">
                  <c:v>116010.08463198144</c:v>
                </c:pt>
                <c:pt idx="4">
                  <c:v>114740.39910660741</c:v>
                </c:pt>
                <c:pt idx="5">
                  <c:v>113602.65616168822</c:v>
                </c:pt>
                <c:pt idx="6">
                  <c:v>112580.41932494218</c:v>
                </c:pt>
                <c:pt idx="7">
                  <c:v>111661.16466033779</c:v>
                </c:pt>
                <c:pt idx="8">
                  <c:v>110835.07297981415</c:v>
                </c:pt>
                <c:pt idx="9">
                  <c:v>110094.26682110025</c:v>
                </c:pt>
                <c:pt idx="10">
                  <c:v>109432.30671677137</c:v>
                </c:pt>
                <c:pt idx="11">
                  <c:v>108843.84634558538</c:v>
                </c:pt>
                <c:pt idx="12">
                  <c:v>108324.38914076731</c:v>
                </c:pt>
                <c:pt idx="13">
                  <c:v>107870.11197835262</c:v>
                </c:pt>
                <c:pt idx="14">
                  <c:v>107477.73455580589</c:v>
                </c:pt>
                <c:pt idx="15">
                  <c:v>107144.42070347619</c:v>
                </c:pt>
                <c:pt idx="16">
                  <c:v>106867.70252222659</c:v>
                </c:pt>
                <c:pt idx="17">
                  <c:v>106645.42116521565</c:v>
                </c:pt>
                <c:pt idx="18">
                  <c:v>106475.6799725747</c:v>
                </c:pt>
                <c:pt idx="19">
                  <c:v>106356.80692044395</c:v>
                </c:pt>
                <c:pt idx="20">
                  <c:v>106287.32419416885</c:v>
                </c:pt>
                <c:pt idx="21">
                  <c:v>106265.92328136072</c:v>
                </c:pt>
                <c:pt idx="22">
                  <c:v>106291.44439242585</c:v>
                </c:pt>
                <c:pt idx="23">
                  <c:v>106362.85931044674</c:v>
                </c:pt>
                <c:pt idx="24">
                  <c:v>106479.25698566524</c:v>
                </c:pt>
                <c:pt idx="25">
                  <c:v>106639.83134660976</c:v>
                </c:pt>
                <c:pt idx="26">
                  <c:v>106843.87091657701</c:v>
                </c:pt>
                <c:pt idx="27">
                  <c:v>107090.7499119729</c:v>
                </c:pt>
                <c:pt idx="28">
                  <c:v>107379.92056580658</c:v>
                </c:pt>
                <c:pt idx="29">
                  <c:v>107710.90647092408</c:v>
                </c:pt>
                <c:pt idx="30">
                  <c:v>108083.29677733926</c:v>
                </c:pt>
                <c:pt idx="31">
                  <c:v>108496.7411091096</c:v>
                </c:pt>
                <c:pt idx="32">
                  <c:v>108950.94509071042</c:v>
                </c:pt>
                <c:pt idx="33">
                  <c:v>109445.66639231968</c:v>
                </c:pt>
                <c:pt idx="34">
                  <c:v>109980.71121898841</c:v>
                </c:pt>
                <c:pt idx="35">
                  <c:v>110555.93118119787</c:v>
                </c:pt>
                <c:pt idx="36">
                  <c:v>111171.22049445371</c:v>
                </c:pt>
                <c:pt idx="37">
                  <c:v>111826.51346383827</c:v>
                </c:pt>
                <c:pt idx="38">
                  <c:v>112521.78221621676</c:v>
                </c:pt>
                <c:pt idx="39">
                  <c:v>113257.03464838001</c:v>
                </c:pt>
                <c:pt idx="40">
                  <c:v>114032.31256402485</c:v>
                </c:pt>
                <c:pt idx="41">
                  <c:v>114847.68997632276</c:v>
                </c:pt>
                <c:pt idx="42">
                  <c:v>115703.27155604052</c:v>
                </c:pt>
                <c:pt idx="43">
                  <c:v>116599.19120787342</c:v>
                </c:pt>
                <c:pt idx="44">
                  <c:v>117535.61075992779</c:v>
                </c:pt>
                <c:pt idx="45">
                  <c:v>118512.71875321187</c:v>
                </c:pt>
                <c:pt idx="46">
                  <c:v>119530.72931963032</c:v>
                </c:pt>
                <c:pt idx="47">
                  <c:v>120589.88113836778</c:v>
                </c:pt>
                <c:pt idx="48">
                  <c:v>121690.43646174285</c:v>
                </c:pt>
                <c:pt idx="49">
                  <c:v>122832.68020263124</c:v>
                </c:pt>
                <c:pt idx="50">
                  <c:v>124016.91907644203</c:v>
                </c:pt>
                <c:pt idx="51">
                  <c:v>125243.48079138687</c:v>
                </c:pt>
                <c:pt idx="52">
                  <c:v>126512.71328144173</c:v>
                </c:pt>
                <c:pt idx="53">
                  <c:v>127824.98397697367</c:v>
                </c:pt>
                <c:pt idx="54">
                  <c:v>129180.67910849898</c:v>
                </c:pt>
                <c:pt idx="55">
                  <c:v>130580.20303947473</c:v>
                </c:pt>
                <c:pt idx="56">
                  <c:v>132023.97762440742</c:v>
                </c:pt>
                <c:pt idx="57">
                  <c:v>133512.44158889103</c:v>
                </c:pt>
                <c:pt idx="58">
                  <c:v>135046.04992848376</c:v>
                </c:pt>
                <c:pt idx="59">
                  <c:v>136625.27332358493</c:v>
                </c:pt>
                <c:pt idx="60">
                  <c:v>138250.59756770747</c:v>
                </c:pt>
                <c:pt idx="61">
                  <c:v>139922.52300673528</c:v>
                </c:pt>
                <c:pt idx="62">
                  <c:v>141641.56398693623</c:v>
                </c:pt>
                <c:pt idx="63">
                  <c:v>143408.24830966018</c:v>
                </c:pt>
                <c:pt idx="64">
                  <c:v>145161.89777336488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B96-4299-8677-4B014ACF176C}"/>
            </c:ext>
          </c:extLst>
        </c:ser>
        <c:ser>
          <c:idx val="7"/>
          <c:order val="15"/>
          <c:tx>
            <c:v>H=7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EDisponible!$BF$20:$BF$84</c:f>
              <c:numCache>
                <c:formatCode>General</c:formatCode>
                <c:ptCount val="65"/>
                <c:pt idx="0">
                  <c:v>96127.523830610546</c:v>
                </c:pt>
                <c:pt idx="1">
                  <c:v>94647.17889857688</c:v>
                </c:pt>
                <c:pt idx="2">
                  <c:v>93356.784181137176</c:v>
                </c:pt>
                <c:pt idx="3">
                  <c:v>92217.194016871043</c:v>
                </c:pt>
                <c:pt idx="4">
                  <c:v>91202.68339200347</c:v>
                </c:pt>
                <c:pt idx="5">
                  <c:v>90295.219788021801</c:v>
                </c:pt>
                <c:pt idx="6">
                  <c:v>89481.549433684137</c:v>
                </c:pt>
                <c:pt idx="7">
                  <c:v>88751.5715157331</c:v>
                </c:pt>
                <c:pt idx="8">
                  <c:v>88097.36555815232</c:v>
                </c:pt>
                <c:pt idx="9">
                  <c:v>87512.576907651601</c:v>
                </c:pt>
                <c:pt idx="10">
                  <c:v>86992.010999327948</c:v>
                </c:pt>
                <c:pt idx="11">
                  <c:v>86531.355560697208</c:v>
                </c:pt>
                <c:pt idx="12">
                  <c:v>86126.984517968202</c:v>
                </c:pt>
                <c:pt idx="13">
                  <c:v>85775.815924920462</c:v>
                </c:pt>
                <c:pt idx="14">
                  <c:v>85475.206691032101</c:v>
                </c:pt>
                <c:pt idx="15">
                  <c:v>85222.873030687013</c:v>
                </c:pt>
                <c:pt idx="16">
                  <c:v>85016.829299970108</c:v>
                </c:pt>
                <c:pt idx="17">
                  <c:v>84855.340242475781</c:v>
                </c:pt>
                <c:pt idx="18">
                  <c:v>84736.88318804992</c:v>
                </c:pt>
                <c:pt idx="19">
                  <c:v>84660.117757138243</c:v>
                </c:pt>
                <c:pt idx="20">
                  <c:v>84623.861306572406</c:v>
                </c:pt>
                <c:pt idx="21">
                  <c:v>84627.068824460483</c:v>
                </c:pt>
                <c:pt idx="22">
                  <c:v>84668.816313572737</c:v>
                </c:pt>
                <c:pt idx="23">
                  <c:v>84748.286939623998</c:v>
                </c:pt>
                <c:pt idx="24">
                  <c:v>84864.759392703956</c:v>
                </c:pt>
                <c:pt idx="25">
                  <c:v>85017.598036398427</c:v>
                </c:pt>
                <c:pt idx="26">
                  <c:v>85206.244513121346</c:v>
                </c:pt>
                <c:pt idx="27">
                  <c:v>85430.210544902046</c:v>
                </c:pt>
                <c:pt idx="28">
                  <c:v>85689.071722674431</c:v>
                </c:pt>
                <c:pt idx="29">
                  <c:v>85982.462118444513</c:v>
                </c:pt>
                <c:pt idx="30">
                  <c:v>86310.0695867498</c:v>
                </c:pt>
                <c:pt idx="31">
                  <c:v>86671.631646880065</c:v>
                </c:pt>
                <c:pt idx="32">
                  <c:v>87066.93185707365</c:v>
                </c:pt>
                <c:pt idx="33">
                  <c:v>87495.796607585813</c:v>
                </c:pt>
                <c:pt idx="34">
                  <c:v>87958.092272066919</c:v>
                </c:pt>
                <c:pt idx="35">
                  <c:v>88453.722666785528</c:v>
                </c:pt>
                <c:pt idx="36">
                  <c:v>88982.626775411714</c:v>
                </c:pt>
                <c:pt idx="37">
                  <c:v>89544.776703741794</c:v>
                </c:pt>
                <c:pt idx="38">
                  <c:v>90140.175834210604</c:v>
                </c:pt>
                <c:pt idx="39">
                  <c:v>90768.857154537283</c:v>
                </c:pt>
                <c:pt idx="40">
                  <c:v>91430.881738578595</c:v>
                </c:pt>
                <c:pt idx="41">
                  <c:v>92126.337360565711</c:v>
                </c:pt>
                <c:pt idx="42">
                  <c:v>92855.337226490956</c:v>
                </c:pt>
                <c:pt idx="43">
                  <c:v>93618.018808588953</c:v>
                </c:pt>
                <c:pt idx="44">
                  <c:v>94414.542770687869</c:v>
                </c:pt>
                <c:pt idx="45">
                  <c:v>95245.091973762086</c:v>
                </c:pt>
                <c:pt idx="46">
                  <c:v>96109.870552333101</c:v>
                </c:pt>
                <c:pt idx="47">
                  <c:v>97009.103053489351</c:v>
                </c:pt>
                <c:pt idx="48">
                  <c:v>97943.033631259706</c:v>
                </c:pt>
                <c:pt idx="49">
                  <c:v>98911.925289896302</c:v>
                </c:pt>
                <c:pt idx="50">
                  <c:v>99916.059170334993</c:v>
                </c:pt>
                <c:pt idx="51">
                  <c:v>100955.73387471512</c:v>
                </c:pt>
                <c:pt idx="52">
                  <c:v>102031.26482436834</c:v>
                </c:pt>
                <c:pt idx="53">
                  <c:v>103142.98364715031</c:v>
                </c:pt>
                <c:pt idx="54">
                  <c:v>104291.23759038826</c:v>
                </c:pt>
                <c:pt idx="55">
                  <c:v>105476.3889560674</c:v>
                </c:pt>
                <c:pt idx="56">
                  <c:v>106698.81455518684</c:v>
                </c:pt>
                <c:pt idx="57">
                  <c:v>107958.90517848244</c:v>
                </c:pt>
                <c:pt idx="58">
                  <c:v>109257.06508094979</c:v>
                </c:pt>
                <c:pt idx="59">
                  <c:v>110593.71147780943</c:v>
                </c:pt>
                <c:pt idx="60">
                  <c:v>111969.274049738</c:v>
                </c:pt>
                <c:pt idx="61">
                  <c:v>113384.19445535092</c:v>
                </c:pt>
                <c:pt idx="62">
                  <c:v>114838.92584906587</c:v>
                </c:pt>
                <c:pt idx="63">
                  <c:v>116333.93240260218</c:v>
                </c:pt>
                <c:pt idx="64">
                  <c:v>117869.68882848472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B96-4299-8677-4B014ACF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60960"/>
        <c:axId val="2134861504"/>
      </c:scatterChart>
      <c:valAx>
        <c:axId val="21348609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Speed</a:t>
                </a:r>
                <a:r>
                  <a:rPr lang="es-ES" sz="1200" b="1" baseline="0">
                    <a:solidFill>
                      <a:sysClr val="windowText" lastClr="000000"/>
                    </a:solidFill>
                  </a:rPr>
                  <a:t> (m/s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1504"/>
        <c:crosses val="autoZero"/>
        <c:crossBetween val="midCat"/>
        <c:majorUnit val="10"/>
      </c:valAx>
      <c:valAx>
        <c:axId val="2134861504"/>
        <c:scaling>
          <c:orientation val="minMax"/>
          <c:max val="4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EDisponible!$B$20:$B$84</c:f>
              <c:numCache>
                <c:formatCode>General</c:formatCode>
                <c:ptCount val="65"/>
                <c:pt idx="0">
                  <c:v>5.8564218430171157E-2</c:v>
                </c:pt>
                <c:pt idx="1">
                  <c:v>7.3205273037713944E-2</c:v>
                </c:pt>
                <c:pt idx="2">
                  <c:v>8.7846327645256725E-2</c:v>
                </c:pt>
                <c:pt idx="3">
                  <c:v>0.10248738225279952</c:v>
                </c:pt>
                <c:pt idx="4">
                  <c:v>0.11712843686034231</c:v>
                </c:pt>
                <c:pt idx="5">
                  <c:v>0.13176949146788511</c:v>
                </c:pt>
                <c:pt idx="6">
                  <c:v>0.14641054607542789</c:v>
                </c:pt>
                <c:pt idx="7">
                  <c:v>0.16105160068297067</c:v>
                </c:pt>
                <c:pt idx="8">
                  <c:v>0.17569265529051345</c:v>
                </c:pt>
                <c:pt idx="9">
                  <c:v>0.19033370989805626</c:v>
                </c:pt>
                <c:pt idx="10">
                  <c:v>0.20497476450559904</c:v>
                </c:pt>
                <c:pt idx="11">
                  <c:v>0.21961581911314182</c:v>
                </c:pt>
                <c:pt idx="12">
                  <c:v>0.23425687372068463</c:v>
                </c:pt>
                <c:pt idx="13">
                  <c:v>0.24889792832822741</c:v>
                </c:pt>
                <c:pt idx="14">
                  <c:v>0.26353898293577022</c:v>
                </c:pt>
                <c:pt idx="15">
                  <c:v>0.278180037543313</c:v>
                </c:pt>
                <c:pt idx="16">
                  <c:v>0.29282109215085578</c:v>
                </c:pt>
                <c:pt idx="17">
                  <c:v>0.30746214675839856</c:v>
                </c:pt>
                <c:pt idx="18">
                  <c:v>0.32210320136594134</c:v>
                </c:pt>
                <c:pt idx="19">
                  <c:v>0.33674425597348412</c:v>
                </c:pt>
                <c:pt idx="20">
                  <c:v>0.3513853105810269</c:v>
                </c:pt>
                <c:pt idx="21">
                  <c:v>0.36602636518856974</c:v>
                </c:pt>
                <c:pt idx="22">
                  <c:v>0.38066741979611252</c:v>
                </c:pt>
                <c:pt idx="23">
                  <c:v>0.3953084744036553</c:v>
                </c:pt>
                <c:pt idx="24">
                  <c:v>0.40994952901119808</c:v>
                </c:pt>
                <c:pt idx="25">
                  <c:v>0.42459058361874086</c:v>
                </c:pt>
                <c:pt idx="26">
                  <c:v>0.43923163822628364</c:v>
                </c:pt>
                <c:pt idx="27">
                  <c:v>0.45387269283382642</c:v>
                </c:pt>
                <c:pt idx="28">
                  <c:v>0.46851374744136925</c:v>
                </c:pt>
                <c:pt idx="29">
                  <c:v>0.48315480204891204</c:v>
                </c:pt>
                <c:pt idx="30">
                  <c:v>0.49779585665645482</c:v>
                </c:pt>
                <c:pt idx="31">
                  <c:v>0.5124369112639976</c:v>
                </c:pt>
                <c:pt idx="32">
                  <c:v>0.52707796587154043</c:v>
                </c:pt>
                <c:pt idx="33">
                  <c:v>0.54171902047908316</c:v>
                </c:pt>
                <c:pt idx="34">
                  <c:v>0.55636007508662599</c:v>
                </c:pt>
                <c:pt idx="35">
                  <c:v>0.57100112969416872</c:v>
                </c:pt>
                <c:pt idx="36">
                  <c:v>0.58564218430171155</c:v>
                </c:pt>
                <c:pt idx="37">
                  <c:v>0.60028323890925428</c:v>
                </c:pt>
                <c:pt idx="38">
                  <c:v>0.61492429351679712</c:v>
                </c:pt>
                <c:pt idx="39">
                  <c:v>0.62956534812433995</c:v>
                </c:pt>
                <c:pt idx="40">
                  <c:v>0.64420640273188268</c:v>
                </c:pt>
                <c:pt idx="41">
                  <c:v>0.65884745733942551</c:v>
                </c:pt>
                <c:pt idx="42">
                  <c:v>0.67348851194696824</c:v>
                </c:pt>
                <c:pt idx="43">
                  <c:v>0.68812956655451107</c:v>
                </c:pt>
                <c:pt idx="44">
                  <c:v>0.7027706211620538</c:v>
                </c:pt>
                <c:pt idx="45">
                  <c:v>0.71741167576959664</c:v>
                </c:pt>
                <c:pt idx="46">
                  <c:v>0.73205273037713947</c:v>
                </c:pt>
                <c:pt idx="47">
                  <c:v>0.7466937849846822</c:v>
                </c:pt>
                <c:pt idx="48">
                  <c:v>0.76133483959222503</c:v>
                </c:pt>
                <c:pt idx="49">
                  <c:v>0.77597589419976776</c:v>
                </c:pt>
                <c:pt idx="50">
                  <c:v>0.79061694880731059</c:v>
                </c:pt>
                <c:pt idx="51">
                  <c:v>0.80525800341485332</c:v>
                </c:pt>
                <c:pt idx="52">
                  <c:v>0.81989905802239615</c:v>
                </c:pt>
                <c:pt idx="53">
                  <c:v>0.83454011262993899</c:v>
                </c:pt>
                <c:pt idx="54">
                  <c:v>0.84918116723748172</c:v>
                </c:pt>
                <c:pt idx="55">
                  <c:v>0.86382222184502455</c:v>
                </c:pt>
                <c:pt idx="56">
                  <c:v>0.87846327645256728</c:v>
                </c:pt>
                <c:pt idx="57">
                  <c:v>0.89310433106011011</c:v>
                </c:pt>
                <c:pt idx="58">
                  <c:v>0.90774538566765284</c:v>
                </c:pt>
                <c:pt idx="59">
                  <c:v>0.92238644027519567</c:v>
                </c:pt>
                <c:pt idx="60">
                  <c:v>0.93702749488273851</c:v>
                </c:pt>
                <c:pt idx="61">
                  <c:v>0.95166854949028123</c:v>
                </c:pt>
                <c:pt idx="62">
                  <c:v>0.96630960409782407</c:v>
                </c:pt>
                <c:pt idx="63">
                  <c:v>0.9809506587053668</c:v>
                </c:pt>
                <c:pt idx="64">
                  <c:v>0.99559171331290963</c:v>
                </c:pt>
              </c:numCache>
            </c:numRef>
          </c:xVal>
          <c:yVal>
            <c:numRef>
              <c:f>EDisponible!$O$20:$O$84</c:f>
              <c:numCache>
                <c:formatCode>General</c:formatCode>
                <c:ptCount val="65"/>
                <c:pt idx="0">
                  <c:v>0.88219622700775613</c:v>
                </c:pt>
                <c:pt idx="1">
                  <c:v>0.86860201088006239</c:v>
                </c:pt>
                <c:pt idx="2">
                  <c:v>0.85642359803568757</c:v>
                </c:pt>
                <c:pt idx="3">
                  <c:v>0.84533198665434905</c:v>
                </c:pt>
                <c:pt idx="4">
                  <c:v>0.83511182144606444</c:v>
                </c:pt>
                <c:pt idx="5">
                  <c:v>0.82561266640903852</c:v>
                </c:pt>
                <c:pt idx="6">
                  <c:v>0.8167242329488793</c:v>
                </c:pt>
                <c:pt idx="7">
                  <c:v>0.80836256813531493</c:v>
                </c:pt>
                <c:pt idx="8">
                  <c:v>0.80046179955216545</c:v>
                </c:pt>
                <c:pt idx="9">
                  <c:v>0.79296892543719533</c:v>
                </c:pt>
                <c:pt idx="10">
                  <c:v>0.78584037939925477</c:v>
                </c:pt>
                <c:pt idx="11">
                  <c:v>0.77903968191347861</c:v>
                </c:pt>
                <c:pt idx="12">
                  <c:v>0.77253578531020006</c:v>
                </c:pt>
                <c:pt idx="13">
                  <c:v>0.7663018768782548</c:v>
                </c:pt>
                <c:pt idx="14">
                  <c:v>0.76031449366662207</c:v>
                </c:pt>
                <c:pt idx="15">
                  <c:v>0.75455285484320334</c:v>
                </c:pt>
                <c:pt idx="16">
                  <c:v>0.74899834931800935</c:v>
                </c:pt>
                <c:pt idx="17">
                  <c:v>0.74363413636218945</c:v>
                </c:pt>
                <c:pt idx="18">
                  <c:v>0.73844482989708315</c:v>
                </c:pt>
                <c:pt idx="19">
                  <c:v>0.73341624570054631</c:v>
                </c:pt>
                <c:pt idx="20">
                  <c:v>0.72853519658183852</c:v>
                </c:pt>
                <c:pt idx="21">
                  <c:v>0.72378932458363354</c:v>
                </c:pt>
                <c:pt idx="22">
                  <c:v>0.71916696208583986</c:v>
                </c:pt>
                <c:pt idx="23">
                  <c:v>0.71465701569705831</c:v>
                </c:pt>
                <c:pt idx="24">
                  <c:v>0.71024886827695655</c:v>
                </c:pt>
                <c:pt idx="25">
                  <c:v>0.70593229550327441</c:v>
                </c:pt>
                <c:pt idx="26">
                  <c:v>0.70169739419315358</c:v>
                </c:pt>
                <c:pt idx="27">
                  <c:v>0.69753452018707485</c:v>
                </c:pt>
                <c:pt idx="28">
                  <c:v>0.69343423405865467</c:v>
                </c:pt>
                <c:pt idx="29">
                  <c:v>0.68938725326267225</c:v>
                </c:pt>
                <c:pt idx="30">
                  <c:v>0.68538440960408531</c:v>
                </c:pt>
                <c:pt idx="31">
                  <c:v>0.68141661112193364</c:v>
                </c:pt>
                <c:pt idx="32">
                  <c:v>0.67747480764822643</c:v>
                </c:pt>
                <c:pt idx="33">
                  <c:v>0.67354995943369089</c:v>
                </c:pt>
                <c:pt idx="34">
                  <c:v>0.66963300833747208</c:v>
                </c:pt>
                <c:pt idx="35">
                  <c:v>0.66571485116240792</c:v>
                </c:pt>
                <c:pt idx="36">
                  <c:v>0.66178631478586281</c:v>
                </c:pt>
                <c:pt idx="37">
                  <c:v>0.65783813279166792</c:v>
                </c:pt>
                <c:pt idx="38">
                  <c:v>0.65386092335413948</c:v>
                </c:pt>
                <c:pt idx="39">
                  <c:v>0.64984516816246596</c:v>
                </c:pt>
                <c:pt idx="40">
                  <c:v>0.64578119220456554</c:v>
                </c:pt>
                <c:pt idx="41">
                  <c:v>0.64165914425505099</c:v>
                </c:pt>
                <c:pt idx="42">
                  <c:v>0.63746897793321378</c:v>
                </c:pt>
                <c:pt idx="43">
                  <c:v>0.63320043321471353</c:v>
                </c:pt>
                <c:pt idx="44">
                  <c:v>0.62884301829558831</c:v>
                </c:pt>
                <c:pt idx="45">
                  <c:v>0.62438599171975118</c:v>
                </c:pt>
                <c:pt idx="46">
                  <c:v>0.61981834469176766</c:v>
                </c:pt>
                <c:pt idx="47">
                  <c:v>0.61512878350568911</c:v>
                </c:pt>
                <c:pt idx="48">
                  <c:v>0.61030571202837491</c:v>
                </c:pt>
                <c:pt idx="49">
                  <c:v>0.60533721418223796</c:v>
                </c:pt>
                <c:pt idx="50">
                  <c:v>0.60021103637792472</c:v>
                </c:pt>
                <c:pt idx="51">
                  <c:v>0.59491456985220126</c:v>
                </c:pt>
                <c:pt idx="52">
                  <c:v>0.58943483287040221</c:v>
                </c:pt>
                <c:pt idx="53">
                  <c:v>0.58375845275632221</c:v>
                </c:pt>
                <c:pt idx="54">
                  <c:v>0.57787164771545185</c:v>
                </c:pt>
                <c:pt idx="55">
                  <c:v>0.57176020842006703</c:v>
                </c:pt>
                <c:pt idx="56">
                  <c:v>0.56540947932694197</c:v>
                </c:pt>
                <c:pt idx="57">
                  <c:v>0.55880433970039645</c:v>
                </c:pt>
                <c:pt idx="58">
                  <c:v>0.55192918431507765</c:v>
                </c:pt>
                <c:pt idx="59">
                  <c:v>0.54476790381432894</c:v>
                </c:pt>
                <c:pt idx="60">
                  <c:v>0.5373038647012699</c:v>
                </c:pt>
                <c:pt idx="61">
                  <c:v>0.52951988894078827</c:v>
                </c:pt>
                <c:pt idx="62">
                  <c:v>0.5213982331516025</c:v>
                </c:pt>
                <c:pt idx="63">
                  <c:v>0.51292056736836344</c:v>
                </c:pt>
                <c:pt idx="64">
                  <c:v>0.5040679533544643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4F-48AD-A763-43C749271166}"/>
            </c:ext>
          </c:extLst>
        </c:ser>
        <c:ser>
          <c:idx val="7"/>
          <c:order val="1"/>
          <c:tx>
            <c:v>H=1500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EDisponible!$C$20:$C$84</c:f>
              <c:numCache>
                <c:formatCode>General</c:formatCode>
                <c:ptCount val="65"/>
                <c:pt idx="0">
                  <c:v>5.9580898504096855E-2</c:v>
                </c:pt>
                <c:pt idx="1">
                  <c:v>7.4476123130121072E-2</c:v>
                </c:pt>
                <c:pt idx="2">
                  <c:v>8.9371347756145275E-2</c:v>
                </c:pt>
                <c:pt idx="3">
                  <c:v>0.10426657238216949</c:v>
                </c:pt>
                <c:pt idx="4">
                  <c:v>0.11916179700819371</c:v>
                </c:pt>
                <c:pt idx="5">
                  <c:v>0.13405702163421793</c:v>
                </c:pt>
                <c:pt idx="6">
                  <c:v>0.14895224626024214</c:v>
                </c:pt>
                <c:pt idx="7">
                  <c:v>0.16384747088626636</c:v>
                </c:pt>
                <c:pt idx="8">
                  <c:v>0.17874269551229055</c:v>
                </c:pt>
                <c:pt idx="9">
                  <c:v>0.19363792013831477</c:v>
                </c:pt>
                <c:pt idx="10">
                  <c:v>0.20853314476433898</c:v>
                </c:pt>
                <c:pt idx="11">
                  <c:v>0.2234283693903632</c:v>
                </c:pt>
                <c:pt idx="12">
                  <c:v>0.23832359401638742</c:v>
                </c:pt>
                <c:pt idx="13">
                  <c:v>0.25321881864241164</c:v>
                </c:pt>
                <c:pt idx="14">
                  <c:v>0.26811404326843585</c:v>
                </c:pt>
                <c:pt idx="15">
                  <c:v>0.28300926789446007</c:v>
                </c:pt>
                <c:pt idx="16">
                  <c:v>0.29790449252048429</c:v>
                </c:pt>
                <c:pt idx="17">
                  <c:v>0.3127997171465085</c:v>
                </c:pt>
                <c:pt idx="18">
                  <c:v>0.32769494177253272</c:v>
                </c:pt>
                <c:pt idx="19">
                  <c:v>0.34259016639855688</c:v>
                </c:pt>
                <c:pt idx="20">
                  <c:v>0.3574853910245811</c:v>
                </c:pt>
                <c:pt idx="21">
                  <c:v>0.37238061565060532</c:v>
                </c:pt>
                <c:pt idx="22">
                  <c:v>0.38727584027662953</c:v>
                </c:pt>
                <c:pt idx="23">
                  <c:v>0.40217106490265375</c:v>
                </c:pt>
                <c:pt idx="24">
                  <c:v>0.41706628952867797</c:v>
                </c:pt>
                <c:pt idx="25">
                  <c:v>0.43196151415470219</c:v>
                </c:pt>
                <c:pt idx="26">
                  <c:v>0.4468567387807264</c:v>
                </c:pt>
                <c:pt idx="27">
                  <c:v>0.46175196340675062</c:v>
                </c:pt>
                <c:pt idx="28">
                  <c:v>0.47664718803277484</c:v>
                </c:pt>
                <c:pt idx="29">
                  <c:v>0.49154241265879905</c:v>
                </c:pt>
                <c:pt idx="30">
                  <c:v>0.50643763728482327</c:v>
                </c:pt>
                <c:pt idx="31">
                  <c:v>0.52133286191084749</c:v>
                </c:pt>
                <c:pt idx="32">
                  <c:v>0.53622808653687171</c:v>
                </c:pt>
                <c:pt idx="33">
                  <c:v>0.55112331116289592</c:v>
                </c:pt>
                <c:pt idx="34">
                  <c:v>0.56601853578892014</c:v>
                </c:pt>
                <c:pt idx="35">
                  <c:v>0.58091376041494436</c:v>
                </c:pt>
                <c:pt idx="36">
                  <c:v>0.59580898504096858</c:v>
                </c:pt>
                <c:pt idx="37">
                  <c:v>0.61070420966699279</c:v>
                </c:pt>
                <c:pt idx="38">
                  <c:v>0.62559943429301701</c:v>
                </c:pt>
                <c:pt idx="39">
                  <c:v>0.64049465891904123</c:v>
                </c:pt>
                <c:pt idx="40">
                  <c:v>0.65538988354506544</c:v>
                </c:pt>
                <c:pt idx="41">
                  <c:v>0.67028510817108966</c:v>
                </c:pt>
                <c:pt idx="42">
                  <c:v>0.68518033279711377</c:v>
                </c:pt>
                <c:pt idx="43">
                  <c:v>0.70007555742313798</c:v>
                </c:pt>
                <c:pt idx="44">
                  <c:v>0.7149707820491622</c:v>
                </c:pt>
                <c:pt idx="45">
                  <c:v>0.72986600667518642</c:v>
                </c:pt>
                <c:pt idx="46">
                  <c:v>0.74476123130121064</c:v>
                </c:pt>
                <c:pt idx="47">
                  <c:v>0.75965645592723485</c:v>
                </c:pt>
                <c:pt idx="48">
                  <c:v>0.77455168055325907</c:v>
                </c:pt>
                <c:pt idx="49">
                  <c:v>0.78944690517928329</c:v>
                </c:pt>
                <c:pt idx="50">
                  <c:v>0.8043421298053075</c:v>
                </c:pt>
                <c:pt idx="51">
                  <c:v>0.81923735443133172</c:v>
                </c:pt>
                <c:pt idx="52">
                  <c:v>0.83413257905735594</c:v>
                </c:pt>
                <c:pt idx="53">
                  <c:v>0.84902780368338016</c:v>
                </c:pt>
                <c:pt idx="54">
                  <c:v>0.86392302830940437</c:v>
                </c:pt>
                <c:pt idx="55">
                  <c:v>0.87881825293542859</c:v>
                </c:pt>
                <c:pt idx="56">
                  <c:v>0.89371347756145281</c:v>
                </c:pt>
                <c:pt idx="57">
                  <c:v>0.90860870218747702</c:v>
                </c:pt>
                <c:pt idx="58">
                  <c:v>0.92350392681350124</c:v>
                </c:pt>
                <c:pt idx="59">
                  <c:v>0.93839915143952546</c:v>
                </c:pt>
                <c:pt idx="60">
                  <c:v>0.95329437606554968</c:v>
                </c:pt>
                <c:pt idx="61">
                  <c:v>0.96818960069157389</c:v>
                </c:pt>
                <c:pt idx="62">
                  <c:v>0.98308482531759811</c:v>
                </c:pt>
                <c:pt idx="63">
                  <c:v>0.99798004994362233</c:v>
                </c:pt>
                <c:pt idx="64">
                  <c:v>1.0128752745696465</c:v>
                </c:pt>
              </c:numCache>
            </c:numRef>
          </c:xVal>
          <c:yVal>
            <c:numRef>
              <c:f>EDisponible!$U$20:$U$84</c:f>
              <c:numCache>
                <c:formatCode>General</c:formatCode>
                <c:ptCount val="65"/>
                <c:pt idx="0">
                  <c:v>0.73664785832826774</c:v>
                </c:pt>
                <c:pt idx="1">
                  <c:v>0.72585558697080754</c:v>
                </c:pt>
                <c:pt idx="2">
                  <c:v>0.71639115448713819</c:v>
                </c:pt>
                <c:pt idx="3">
                  <c:v>0.7079752125045371</c:v>
                </c:pt>
                <c:pt idx="4">
                  <c:v>0.70042444514989943</c:v>
                </c:pt>
                <c:pt idx="5">
                  <c:v>0.69361053178044207</c:v>
                </c:pt>
                <c:pt idx="6">
                  <c:v>0.68743927867975441</c:v>
                </c:pt>
                <c:pt idx="7">
                  <c:v>0.68183897922989678</c:v>
                </c:pt>
                <c:pt idx="8">
                  <c:v>0.67675345330285708</c:v>
                </c:pt>
                <c:pt idx="9">
                  <c:v>0.67213765154115024</c:v>
                </c:pt>
                <c:pt idx="10">
                  <c:v>0.66795475464220821</c:v>
                </c:pt>
                <c:pt idx="11">
                  <c:v>0.66417418851969356</c:v>
                </c:pt>
                <c:pt idx="12">
                  <c:v>0.66077022417367381</c:v>
                </c:pt>
                <c:pt idx="13">
                  <c:v>0.65772096404871483</c:v>
                </c:pt>
                <c:pt idx="14">
                  <c:v>0.65500759156333077</c:v>
                </c:pt>
                <c:pt idx="15">
                  <c:v>0.65261380450985174</c:v>
                </c:pt>
                <c:pt idx="16">
                  <c:v>0.6505253798416829</c:v>
                </c:pt>
                <c:pt idx="17">
                  <c:v>0.64872983422728037</c:v>
                </c:pt>
                <c:pt idx="18">
                  <c:v>0.64721615565021406</c:v>
                </c:pt>
                <c:pt idx="19">
                  <c:v>0.645974588555431</c:v>
                </c:pt>
                <c:pt idx="20">
                  <c:v>0.64499645993097454</c:v>
                </c:pt>
                <c:pt idx="21">
                  <c:v>0.64427403709058584</c:v>
                </c:pt>
                <c:pt idx="22">
                  <c:v>0.64380041029568291</c:v>
                </c:pt>
                <c:pt idx="23">
                  <c:v>0.64356939505038246</c:v>
                </c:pt>
                <c:pt idx="24">
                  <c:v>0.64266863401504926</c:v>
                </c:pt>
                <c:pt idx="25">
                  <c:v>0.63921235732673465</c:v>
                </c:pt>
                <c:pt idx="26">
                  <c:v>0.63584481979455665</c:v>
                </c:pt>
                <c:pt idx="27">
                  <c:v>0.63255769642920001</c:v>
                </c:pt>
                <c:pt idx="28">
                  <c:v>0.62934284570561205</c:v>
                </c:pt>
                <c:pt idx="29">
                  <c:v>0.6261922684570671</c:v>
                </c:pt>
                <c:pt idx="30">
                  <c:v>0.62309807125910044</c:v>
                </c:pt>
                <c:pt idx="31">
                  <c:v>0.62005243353861028</c:v>
                </c:pt>
                <c:pt idx="32">
                  <c:v>0.61704757778341668</c:v>
                </c:pt>
                <c:pt idx="33">
                  <c:v>0.61407574233860951</c:v>
                </c:pt>
                <c:pt idx="34">
                  <c:v>0.61112915636464893</c:v>
                </c:pt>
                <c:pt idx="35">
                  <c:v>0.60820001660342915</c:v>
                </c:pt>
                <c:pt idx="36">
                  <c:v>0.60528046565610327</c:v>
                </c:pt>
                <c:pt idx="37">
                  <c:v>0.60236257152330441</c:v>
                </c:pt>
                <c:pt idx="38">
                  <c:v>0.59943830819667721</c:v>
                </c:pt>
                <c:pt idx="39">
                  <c:v>0.5964995371220928</c:v>
                </c:pt>
                <c:pt idx="40">
                  <c:v>0.59353798938087998</c:v>
                </c:pt>
                <c:pt idx="41">
                  <c:v>0.59054524845695011</c:v>
                </c:pt>
                <c:pt idx="42">
                  <c:v>0.58751273347560651</c:v>
                </c:pt>
                <c:pt idx="43">
                  <c:v>0.58443168281484237</c:v>
                </c:pt>
                <c:pt idx="44">
                  <c:v>0.58129313800249027</c:v>
                </c:pt>
                <c:pt idx="45">
                  <c:v>0.57808792782319007</c:v>
                </c:pt>
                <c:pt idx="46">
                  <c:v>0.57480665256809704</c:v>
                </c:pt>
                <c:pt idx="47">
                  <c:v>0.57143966836782678</c:v>
                </c:pt>
                <c:pt idx="48">
                  <c:v>0.56797707155558352</c:v>
                </c:pt>
                <c:pt idx="49">
                  <c:v>0.56440868301292102</c:v>
                </c:pt>
                <c:pt idx="50">
                  <c:v>0.56072403245526792</c:v>
                </c:pt>
                <c:pt idx="51">
                  <c:v>0.55691234261836664</c:v>
                </c:pt>
                <c:pt idx="52">
                  <c:v>0.55296251331023794</c:v>
                </c:pt>
                <c:pt idx="53">
                  <c:v>0.54886310529622484</c:v>
                </c:pt>
                <c:pt idx="54">
                  <c:v>0.54460232398724029</c:v>
                </c:pt>
                <c:pt idx="55">
                  <c:v>0.54016800290352585</c:v>
                </c:pt>
                <c:pt idx="56">
                  <c:v>0.53554758688814319</c:v>
                </c:pt>
                <c:pt idx="57">
                  <c:v>0.53072811504604478</c:v>
                </c:pt>
                <c:pt idx="58">
                  <c:v>0.52569620338599532</c:v>
                </c:pt>
                <c:pt idx="59">
                  <c:v>0.52043802714384924</c:v>
                </c:pt>
                <c:pt idx="60">
                  <c:v>0.5149393027667255</c:v>
                </c:pt>
                <c:pt idx="61">
                  <c:v>0.50918526953856846</c:v>
                </c:pt>
                <c:pt idx="62">
                  <c:v>0.50316067082834848</c:v>
                </c:pt>
                <c:pt idx="63">
                  <c:v>0.49684973494285284</c:v>
                </c:pt>
                <c:pt idx="64">
                  <c:v>0.49023615556660627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4F-48AD-A763-43C749271166}"/>
            </c:ext>
          </c:extLst>
        </c:ser>
        <c:ser>
          <c:idx val="6"/>
          <c:order val="2"/>
          <c:tx>
            <c:v>H=3000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EDisponible!$D$20:$D$84</c:f>
              <c:numCache>
                <c:formatCode>General</c:formatCode>
                <c:ptCount val="65"/>
                <c:pt idx="0">
                  <c:v>6.0652435028524965E-2</c:v>
                </c:pt>
                <c:pt idx="1">
                  <c:v>7.5815543785656206E-2</c:v>
                </c:pt>
                <c:pt idx="2">
                  <c:v>9.0978652542787447E-2</c:v>
                </c:pt>
                <c:pt idx="3">
                  <c:v>0.10614176129991869</c:v>
                </c:pt>
                <c:pt idx="4">
                  <c:v>0.12130487005704993</c:v>
                </c:pt>
                <c:pt idx="5">
                  <c:v>0.13646797881418118</c:v>
                </c:pt>
                <c:pt idx="6">
                  <c:v>0.15163108757131241</c:v>
                </c:pt>
                <c:pt idx="7">
                  <c:v>0.16679419632844367</c:v>
                </c:pt>
                <c:pt idx="8">
                  <c:v>0.18195730508557489</c:v>
                </c:pt>
                <c:pt idx="9">
                  <c:v>0.19712041384270615</c:v>
                </c:pt>
                <c:pt idx="10">
                  <c:v>0.21228352259983738</c:v>
                </c:pt>
                <c:pt idx="11">
                  <c:v>0.22744663135696863</c:v>
                </c:pt>
                <c:pt idx="12">
                  <c:v>0.24260974011409986</c:v>
                </c:pt>
                <c:pt idx="13">
                  <c:v>0.25777284887123109</c:v>
                </c:pt>
                <c:pt idx="14">
                  <c:v>0.27293595762836237</c:v>
                </c:pt>
                <c:pt idx="15">
                  <c:v>0.2880990663854936</c:v>
                </c:pt>
                <c:pt idx="16">
                  <c:v>0.30326217514262482</c:v>
                </c:pt>
                <c:pt idx="17">
                  <c:v>0.31842528389975605</c:v>
                </c:pt>
                <c:pt idx="18">
                  <c:v>0.33358839265688733</c:v>
                </c:pt>
                <c:pt idx="19">
                  <c:v>0.34875150141401856</c:v>
                </c:pt>
                <c:pt idx="20">
                  <c:v>0.36391461017114979</c:v>
                </c:pt>
                <c:pt idx="21">
                  <c:v>0.37907771892828102</c:v>
                </c:pt>
                <c:pt idx="22">
                  <c:v>0.3942408276854123</c:v>
                </c:pt>
                <c:pt idx="23">
                  <c:v>0.40940393644254353</c:v>
                </c:pt>
                <c:pt idx="24">
                  <c:v>0.42456704519967475</c:v>
                </c:pt>
                <c:pt idx="25">
                  <c:v>0.43973015395680598</c:v>
                </c:pt>
                <c:pt idx="26">
                  <c:v>0.45489326271393726</c:v>
                </c:pt>
                <c:pt idx="27">
                  <c:v>0.47005637147106849</c:v>
                </c:pt>
                <c:pt idx="28">
                  <c:v>0.48521948022819972</c:v>
                </c:pt>
                <c:pt idx="29">
                  <c:v>0.50038258898533094</c:v>
                </c:pt>
                <c:pt idx="30">
                  <c:v>0.51554569774246217</c:v>
                </c:pt>
                <c:pt idx="31">
                  <c:v>0.5307088064995934</c:v>
                </c:pt>
                <c:pt idx="32">
                  <c:v>0.54587191525672474</c:v>
                </c:pt>
                <c:pt idx="33">
                  <c:v>0.56103502401385597</c:v>
                </c:pt>
                <c:pt idx="34">
                  <c:v>0.57619813277098719</c:v>
                </c:pt>
                <c:pt idx="35">
                  <c:v>0.59136124152811842</c:v>
                </c:pt>
                <c:pt idx="36">
                  <c:v>0.60652435028524965</c:v>
                </c:pt>
                <c:pt idx="37">
                  <c:v>0.62168745904238087</c:v>
                </c:pt>
                <c:pt idx="38">
                  <c:v>0.6368505677995121</c:v>
                </c:pt>
                <c:pt idx="39">
                  <c:v>0.65201367655664333</c:v>
                </c:pt>
                <c:pt idx="40">
                  <c:v>0.66717678531377467</c:v>
                </c:pt>
                <c:pt idx="41">
                  <c:v>0.68233989407090589</c:v>
                </c:pt>
                <c:pt idx="42">
                  <c:v>0.69750300282803712</c:v>
                </c:pt>
                <c:pt idx="43">
                  <c:v>0.71266611158516835</c:v>
                </c:pt>
                <c:pt idx="44">
                  <c:v>0.72782922034229958</c:v>
                </c:pt>
                <c:pt idx="45">
                  <c:v>0.7429923290994308</c:v>
                </c:pt>
                <c:pt idx="46">
                  <c:v>0.75815543785656203</c:v>
                </c:pt>
                <c:pt idx="47">
                  <c:v>0.77331854661369326</c:v>
                </c:pt>
                <c:pt idx="48">
                  <c:v>0.7884816553708246</c:v>
                </c:pt>
                <c:pt idx="49">
                  <c:v>0.80364476412795582</c:v>
                </c:pt>
                <c:pt idx="50">
                  <c:v>0.81880787288508705</c:v>
                </c:pt>
                <c:pt idx="51">
                  <c:v>0.83397098164221828</c:v>
                </c:pt>
                <c:pt idx="52">
                  <c:v>0.84913409039934951</c:v>
                </c:pt>
                <c:pt idx="53">
                  <c:v>0.86429719915648073</c:v>
                </c:pt>
                <c:pt idx="54">
                  <c:v>0.87946030791361196</c:v>
                </c:pt>
                <c:pt idx="55">
                  <c:v>0.89462341667074319</c:v>
                </c:pt>
                <c:pt idx="56">
                  <c:v>0.90978652542787453</c:v>
                </c:pt>
                <c:pt idx="57">
                  <c:v>0.92494963418500575</c:v>
                </c:pt>
                <c:pt idx="58">
                  <c:v>0.94011274294213698</c:v>
                </c:pt>
                <c:pt idx="59">
                  <c:v>0.95527585169926821</c:v>
                </c:pt>
                <c:pt idx="60">
                  <c:v>0.97043896045639944</c:v>
                </c:pt>
                <c:pt idx="61">
                  <c:v>0.98560206921353066</c:v>
                </c:pt>
                <c:pt idx="62">
                  <c:v>1.0007651779706619</c:v>
                </c:pt>
                <c:pt idx="63">
                  <c:v>1.0159282867277932</c:v>
                </c:pt>
                <c:pt idx="64">
                  <c:v>1.0310913954849243</c:v>
                </c:pt>
              </c:numCache>
            </c:numRef>
          </c:xVal>
          <c:yVal>
            <c:numRef>
              <c:f>EDisponible!$AA$20:$AA$84</c:f>
              <c:numCache>
                <c:formatCode>General</c:formatCode>
                <c:ptCount val="65"/>
                <c:pt idx="0">
                  <c:v>0.61019746685508724</c:v>
                </c:pt>
                <c:pt idx="1">
                  <c:v>0.60118865864775073</c:v>
                </c:pt>
                <c:pt idx="2">
                  <c:v>0.5932948819607714</c:v>
                </c:pt>
                <c:pt idx="3">
                  <c:v>0.5862822537249236</c:v>
                </c:pt>
                <c:pt idx="4">
                  <c:v>0.57999726235385995</c:v>
                </c:pt>
                <c:pt idx="5">
                  <c:v>0.57433242832525344</c:v>
                </c:pt>
                <c:pt idx="6">
                  <c:v>0.56920884117614956</c:v>
                </c:pt>
                <c:pt idx="7">
                  <c:v>0.56456641860685108</c:v>
                </c:pt>
                <c:pt idx="8">
                  <c:v>0.56035808111084662</c:v>
                </c:pt>
                <c:pt idx="9">
                  <c:v>0.55654607294039138</c:v>
                </c:pt>
                <c:pt idx="10">
                  <c:v>0.55309953415266799</c:v>
                </c:pt>
                <c:pt idx="11">
                  <c:v>0.5499928391270319</c:v>
                </c:pt>
                <c:pt idx="12">
                  <c:v>0.54720442442800532</c:v>
                </c:pt>
                <c:pt idx="13">
                  <c:v>0.54471594013640434</c:v>
                </c:pt>
                <c:pt idx="14">
                  <c:v>0.5425116214506106</c:v>
                </c:pt>
                <c:pt idx="15">
                  <c:v>0.54057781419275985</c:v>
                </c:pt>
                <c:pt idx="16">
                  <c:v>0.53890261029654918</c:v>
                </c:pt>
                <c:pt idx="17">
                  <c:v>0.53747556346455017</c:v>
                </c:pt>
                <c:pt idx="18">
                  <c:v>0.53628746430473484</c:v>
                </c:pt>
                <c:pt idx="19">
                  <c:v>0.53533016029884772</c:v>
                </c:pt>
                <c:pt idx="20">
                  <c:v>0.53459641004699909</c:v>
                </c:pt>
                <c:pt idx="21">
                  <c:v>0.53407976405846114</c:v>
                </c:pt>
                <c:pt idx="22">
                  <c:v>0.5337744663447781</c:v>
                </c:pt>
                <c:pt idx="23">
                  <c:v>0.53367537249012786</c:v>
                </c:pt>
                <c:pt idx="24">
                  <c:v>0.5337778809023801</c:v>
                </c:pt>
                <c:pt idx="25">
                  <c:v>0.53407787470400203</c:v>
                </c:pt>
                <c:pt idx="26">
                  <c:v>0.53457167228416891</c:v>
                </c:pt>
                <c:pt idx="27">
                  <c:v>0.53525598495642901</c:v>
                </c:pt>
                <c:pt idx="28">
                  <c:v>0.53612788048800231</c:v>
                </c:pt>
                <c:pt idx="29">
                  <c:v>0.53718475151383771</c:v>
                </c:pt>
                <c:pt idx="30">
                  <c:v>0.53842428804003439</c:v>
                </c:pt>
                <c:pt idx="31">
                  <c:v>0.53984445339092235</c:v>
                </c:pt>
                <c:pt idx="32">
                  <c:v>0.54144346307203972</c:v>
                </c:pt>
                <c:pt idx="33">
                  <c:v>0.54321976611487466</c:v>
                </c:pt>
                <c:pt idx="34">
                  <c:v>0.54517202854411284</c:v>
                </c:pt>
                <c:pt idx="35">
                  <c:v>0.54729911866837022</c:v>
                </c:pt>
                <c:pt idx="36">
                  <c:v>0.54626218635545487</c:v>
                </c:pt>
                <c:pt idx="37">
                  <c:v>0.54419155779727935</c:v>
                </c:pt>
                <c:pt idx="38">
                  <c:v>0.54213160655120507</c:v>
                </c:pt>
                <c:pt idx="39">
                  <c:v>0.54007542739422498</c:v>
                </c:pt>
                <c:pt idx="40">
                  <c:v>0.5380160075073176</c:v>
                </c:pt>
                <c:pt idx="41">
                  <c:v>0.53594621131703479</c:v>
                </c:pt>
                <c:pt idx="42">
                  <c:v>0.53385876572406143</c:v>
                </c:pt>
                <c:pt idx="43">
                  <c:v>0.53174624563450668</c:v>
                </c:pt>
                <c:pt idx="44">
                  <c:v>0.52960105972021509</c:v>
                </c:pt>
                <c:pt idx="45">
                  <c:v>0.5274154363432817</c:v>
                </c:pt>
                <c:pt idx="46">
                  <c:v>0.52518140958744308</c:v>
                </c:pt>
                <c:pt idx="47">
                  <c:v>0.52289080534539556</c:v>
                </c:pt>
                <c:pt idx="48">
                  <c:v>0.52053522741647595</c:v>
                </c:pt>
                <c:pt idx="49">
                  <c:v>0.51810604357376688</c:v>
                </c:pt>
                <c:pt idx="50">
                  <c:v>0.51559437156360821</c:v>
                </c:pt>
                <c:pt idx="51">
                  <c:v>0.51299106500387415</c:v>
                </c:pt>
                <c:pt idx="52">
                  <c:v>0.51028669915026004</c:v>
                </c:pt>
                <c:pt idx="53">
                  <c:v>0.50747155650231335</c:v>
                </c:pt>
                <c:pt idx="54">
                  <c:v>0.50453561222307253</c:v>
                </c:pt>
                <c:pt idx="55">
                  <c:v>0.50146851934802761</c:v>
                </c:pt>
                <c:pt idx="56">
                  <c:v>0.49825959376070078</c:v>
                </c:pt>
                <c:pt idx="57">
                  <c:v>0.49489779891352031</c:v>
                </c:pt>
                <c:pt idx="58">
                  <c:v>0.49137173027384667</c:v>
                </c:pt>
                <c:pt idx="59">
                  <c:v>0.48766959947603505</c:v>
                </c:pt>
                <c:pt idx="60">
                  <c:v>0.48377921816129776</c:v>
                </c:pt>
                <c:pt idx="61">
                  <c:v>0.4796879814879062</c:v>
                </c:pt>
                <c:pt idx="62">
                  <c:v>0.47538285129491648</c:v>
                </c:pt>
                <c:pt idx="63">
                  <c:v>0.47085033890318245</c:v>
                </c:pt>
                <c:pt idx="64">
                  <c:v>0.46607648753790348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4F-48AD-A763-43C749271166}"/>
            </c:ext>
          </c:extLst>
        </c:ser>
        <c:ser>
          <c:idx val="5"/>
          <c:order val="3"/>
          <c:tx>
            <c:v>H=4500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EDisponible!$E$20:$E$84</c:f>
              <c:numCache>
                <c:formatCode>General</c:formatCode>
                <c:ptCount val="65"/>
                <c:pt idx="0">
                  <c:v>6.1783945468758733E-2</c:v>
                </c:pt>
                <c:pt idx="1">
                  <c:v>7.7229931835948409E-2</c:v>
                </c:pt>
                <c:pt idx="2">
                  <c:v>9.26759182031381E-2</c:v>
                </c:pt>
                <c:pt idx="3">
                  <c:v>0.10812190457032778</c:v>
                </c:pt>
                <c:pt idx="4">
                  <c:v>0.12356789093751747</c:v>
                </c:pt>
                <c:pt idx="5">
                  <c:v>0.13901387730470716</c:v>
                </c:pt>
                <c:pt idx="6">
                  <c:v>0.15445986367189682</c:v>
                </c:pt>
                <c:pt idx="7">
                  <c:v>0.16990585003908651</c:v>
                </c:pt>
                <c:pt idx="8">
                  <c:v>0.1853518364062762</c:v>
                </c:pt>
                <c:pt idx="9">
                  <c:v>0.20079782277346589</c:v>
                </c:pt>
                <c:pt idx="10">
                  <c:v>0.21624380914065555</c:v>
                </c:pt>
                <c:pt idx="11">
                  <c:v>0.23168979550784524</c:v>
                </c:pt>
                <c:pt idx="12">
                  <c:v>0.24713578187503493</c:v>
                </c:pt>
                <c:pt idx="13">
                  <c:v>0.26258176824222462</c:v>
                </c:pt>
                <c:pt idx="14">
                  <c:v>0.27802775460941431</c:v>
                </c:pt>
                <c:pt idx="15">
                  <c:v>0.29347374097660395</c:v>
                </c:pt>
                <c:pt idx="16">
                  <c:v>0.30891972734379364</c:v>
                </c:pt>
                <c:pt idx="17">
                  <c:v>0.32436571371098333</c:v>
                </c:pt>
                <c:pt idx="18">
                  <c:v>0.33981170007817302</c:v>
                </c:pt>
                <c:pt idx="19">
                  <c:v>0.35525768644536271</c:v>
                </c:pt>
                <c:pt idx="20">
                  <c:v>0.3707036728125524</c:v>
                </c:pt>
                <c:pt idx="21">
                  <c:v>0.38614965917974209</c:v>
                </c:pt>
                <c:pt idx="22">
                  <c:v>0.40159564554693178</c:v>
                </c:pt>
                <c:pt idx="23">
                  <c:v>0.41704163191412141</c:v>
                </c:pt>
                <c:pt idx="24">
                  <c:v>0.4324876182813111</c:v>
                </c:pt>
                <c:pt idx="25">
                  <c:v>0.44793360464850079</c:v>
                </c:pt>
                <c:pt idx="26">
                  <c:v>0.46337959101569048</c:v>
                </c:pt>
                <c:pt idx="27">
                  <c:v>0.47882557738288017</c:v>
                </c:pt>
                <c:pt idx="28">
                  <c:v>0.49427156375006986</c:v>
                </c:pt>
                <c:pt idx="29">
                  <c:v>0.5097175501172595</c:v>
                </c:pt>
                <c:pt idx="30">
                  <c:v>0.52516353648444924</c:v>
                </c:pt>
                <c:pt idx="31">
                  <c:v>0.54060952285163888</c:v>
                </c:pt>
                <c:pt idx="32">
                  <c:v>0.55605550921882863</c:v>
                </c:pt>
                <c:pt idx="33">
                  <c:v>0.57150149558601826</c:v>
                </c:pt>
                <c:pt idx="34">
                  <c:v>0.58694748195320789</c:v>
                </c:pt>
                <c:pt idx="35">
                  <c:v>0.60239346832039764</c:v>
                </c:pt>
                <c:pt idx="36">
                  <c:v>0.61783945468758728</c:v>
                </c:pt>
                <c:pt idx="37">
                  <c:v>0.63328544105477702</c:v>
                </c:pt>
                <c:pt idx="38">
                  <c:v>0.64873142742196666</c:v>
                </c:pt>
                <c:pt idx="39">
                  <c:v>0.6641774137891564</c:v>
                </c:pt>
                <c:pt idx="40">
                  <c:v>0.67962340015634604</c:v>
                </c:pt>
                <c:pt idx="41">
                  <c:v>0.69506938652353578</c:v>
                </c:pt>
                <c:pt idx="42">
                  <c:v>0.71051537289072542</c:v>
                </c:pt>
                <c:pt idx="43">
                  <c:v>0.72596135925791505</c:v>
                </c:pt>
                <c:pt idx="44">
                  <c:v>0.7414073456251048</c:v>
                </c:pt>
                <c:pt idx="45">
                  <c:v>0.75685333199229443</c:v>
                </c:pt>
                <c:pt idx="46">
                  <c:v>0.77229931835948418</c:v>
                </c:pt>
                <c:pt idx="47">
                  <c:v>0.78774530472667381</c:v>
                </c:pt>
                <c:pt idx="48">
                  <c:v>0.80319129109386356</c:v>
                </c:pt>
                <c:pt idx="49">
                  <c:v>0.81863727746105319</c:v>
                </c:pt>
                <c:pt idx="50">
                  <c:v>0.83408326382824283</c:v>
                </c:pt>
                <c:pt idx="51">
                  <c:v>0.84952925019543257</c:v>
                </c:pt>
                <c:pt idx="52">
                  <c:v>0.86497523656262221</c:v>
                </c:pt>
                <c:pt idx="53">
                  <c:v>0.88042122292981195</c:v>
                </c:pt>
                <c:pt idx="54">
                  <c:v>0.89586720929700159</c:v>
                </c:pt>
                <c:pt idx="55">
                  <c:v>0.91131319566419133</c:v>
                </c:pt>
                <c:pt idx="56">
                  <c:v>0.92675918203138097</c:v>
                </c:pt>
                <c:pt idx="57">
                  <c:v>0.9422051683985706</c:v>
                </c:pt>
                <c:pt idx="58">
                  <c:v>0.95765115476576035</c:v>
                </c:pt>
                <c:pt idx="59">
                  <c:v>0.97309714113294998</c:v>
                </c:pt>
                <c:pt idx="60">
                  <c:v>0.98854312750013973</c:v>
                </c:pt>
                <c:pt idx="61">
                  <c:v>1.0039891138673294</c:v>
                </c:pt>
                <c:pt idx="62">
                  <c:v>1.019435100234519</c:v>
                </c:pt>
                <c:pt idx="63">
                  <c:v>1.0348810866017089</c:v>
                </c:pt>
                <c:pt idx="64">
                  <c:v>1.0503270729688985</c:v>
                </c:pt>
              </c:numCache>
            </c:numRef>
          </c:xVal>
          <c:yVal>
            <c:numRef>
              <c:f>EDisponible!$AG$20:$AG$84</c:f>
              <c:numCache>
                <c:formatCode>General</c:formatCode>
                <c:ptCount val="65"/>
                <c:pt idx="0">
                  <c:v>0.50194447302542466</c:v>
                </c:pt>
                <c:pt idx="1">
                  <c:v>0.49447491014093947</c:v>
                </c:pt>
                <c:pt idx="2">
                  <c:v>0.48793572604245089</c:v>
                </c:pt>
                <c:pt idx="3">
                  <c:v>0.48213237988221436</c:v>
                </c:pt>
                <c:pt idx="4">
                  <c:v>0.47693715522318969</c:v>
                </c:pt>
                <c:pt idx="5">
                  <c:v>0.47226061365854405</c:v>
                </c:pt>
                <c:pt idx="6">
                  <c:v>0.46803707717922394</c:v>
                </c:pt>
                <c:pt idx="7">
                  <c:v>0.46421652979796318</c:v>
                </c:pt>
                <c:pt idx="8">
                  <c:v>0.46075977417027214</c:v>
                </c:pt>
                <c:pt idx="9">
                  <c:v>0.45763537252998987</c:v>
                </c:pt>
                <c:pt idx="10">
                  <c:v>0.45481762772252377</c:v>
                </c:pt>
                <c:pt idx="11">
                  <c:v>0.4522852014759387</c:v>
                </c:pt>
                <c:pt idx="12">
                  <c:v>0.45002013952787473</c:v>
                </c:pt>
                <c:pt idx="13">
                  <c:v>0.44800716570597915</c:v>
                </c:pt>
                <c:pt idx="14">
                  <c:v>0.44623315916581141</c:v>
                </c:pt>
                <c:pt idx="15">
                  <c:v>0.44468675961019932</c:v>
                </c:pt>
                <c:pt idx="16">
                  <c:v>0.44335806397101074</c:v>
                </c:pt>
                <c:pt idx="17">
                  <c:v>0.44223838976580238</c:v>
                </c:pt>
                <c:pt idx="18">
                  <c:v>0.44132008792554395</c:v>
                </c:pt>
                <c:pt idx="19">
                  <c:v>0.44059639291371272</c:v>
                </c:pt>
                <c:pt idx="20">
                  <c:v>0.44006130135905147</c:v>
                </c:pt>
                <c:pt idx="21">
                  <c:v>0.43970947277361461</c:v>
                </c:pt>
                <c:pt idx="22">
                  <c:v>0.43953614757916942</c:v>
                </c:pt>
                <c:pt idx="23">
                  <c:v>0.43953707884475918</c:v>
                </c:pt>
                <c:pt idx="24">
                  <c:v>0.43970847499347171</c:v>
                </c:pt>
                <c:pt idx="25">
                  <c:v>0.44004695136489402</c:v>
                </c:pt>
                <c:pt idx="26">
                  <c:v>0.44054948898722146</c:v>
                </c:pt>
                <c:pt idx="27">
                  <c:v>0.44121339926480202</c:v>
                </c:pt>
                <c:pt idx="28">
                  <c:v>0.44203629355443752</c:v>
                </c:pt>
                <c:pt idx="29">
                  <c:v>0.44301605680924205</c:v>
                </c:pt>
                <c:pt idx="30">
                  <c:v>0.44415082462811578</c:v>
                </c:pt>
                <c:pt idx="31">
                  <c:v>0.44543896317340526</c:v>
                </c:pt>
                <c:pt idx="32">
                  <c:v>0.44687905151741797</c:v>
                </c:pt>
                <c:pt idx="33">
                  <c:v>0.44846986605635586</c:v>
                </c:pt>
                <c:pt idx="34">
                  <c:v>0.45021036669251147</c:v>
                </c:pt>
                <c:pt idx="35">
                  <c:v>0.45209968453569488</c:v>
                </c:pt>
                <c:pt idx="36">
                  <c:v>0.45413711091546111</c:v>
                </c:pt>
                <c:pt idx="37">
                  <c:v>0.45632208752878411</c:v>
                </c:pt>
                <c:pt idx="38">
                  <c:v>0.4586541975749247</c:v>
                </c:pt>
                <c:pt idx="39">
                  <c:v>0.46113315775155816</c:v>
                </c:pt>
                <c:pt idx="40">
                  <c:v>0.46375881100471655</c:v>
                </c:pt>
                <c:pt idx="41">
                  <c:v>0.46653111994045271</c:v>
                </c:pt>
                <c:pt idx="42">
                  <c:v>0.46945016081899693</c:v>
                </c:pt>
                <c:pt idx="43">
                  <c:v>0.47251611806293548</c:v>
                </c:pt>
                <c:pt idx="44">
                  <c:v>0.4757292792200401</c:v>
                </c:pt>
                <c:pt idx="45">
                  <c:v>0.47465022040171678</c:v>
                </c:pt>
                <c:pt idx="46">
                  <c:v>0.47325494953950648</c:v>
                </c:pt>
                <c:pt idx="47">
                  <c:v>0.47182615536280004</c:v>
                </c:pt>
                <c:pt idx="48">
                  <c:v>0.47035677685596944</c:v>
                </c:pt>
                <c:pt idx="49">
                  <c:v>0.46883955178056219</c:v>
                </c:pt>
                <c:pt idx="50">
                  <c:v>0.46726700425563861</c:v>
                </c:pt>
                <c:pt idx="51">
                  <c:v>0.46563143223652964</c:v>
                </c:pt>
                <c:pt idx="52">
                  <c:v>0.46392489486537219</c:v>
                </c:pt>
                <c:pt idx="53">
                  <c:v>0.46213919966884592</c:v>
                </c:pt>
                <c:pt idx="54">
                  <c:v>0.46026588958030862</c:v>
                </c:pt>
                <c:pt idx="55">
                  <c:v>0.458296229765076</c:v>
                </c:pt>
                <c:pt idx="56">
                  <c:v>0.45622119422889917</c:v>
                </c:pt>
                <c:pt idx="57">
                  <c:v>0.45403145219084673</c:v>
                </c:pt>
                <c:pt idx="58">
                  <c:v>0.45171735420277237</c:v>
                </c:pt>
                <c:pt idx="59">
                  <c:v>0.44926891799841018</c:v>
                </c:pt>
                <c:pt idx="60">
                  <c:v>0.44667581405586898</c:v>
                </c:pt>
                <c:pt idx="61">
                  <c:v>0.44392735085792562</c:v>
                </c:pt>
                <c:pt idx="62">
                  <c:v>0.4410124598350717</c:v>
                </c:pt>
                <c:pt idx="63">
                  <c:v>0.43791967997672876</c:v>
                </c:pt>
                <c:pt idx="64">
                  <c:v>0.43463714209645077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F-48AD-A763-43C749271166}"/>
            </c:ext>
          </c:extLst>
        </c:ser>
        <c:ser>
          <c:idx val="4"/>
          <c:order val="4"/>
          <c:tx>
            <c:v>H=6000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EDisponible!$F$20:$F$84</c:f>
              <c:numCache>
                <c:formatCode>General</c:formatCode>
                <c:ptCount val="65"/>
                <c:pt idx="0">
                  <c:v>6.2981241599812374E-2</c:v>
                </c:pt>
                <c:pt idx="1">
                  <c:v>7.8726551999765471E-2</c:v>
                </c:pt>
                <c:pt idx="2">
                  <c:v>9.4471862399718567E-2</c:v>
                </c:pt>
                <c:pt idx="3">
                  <c:v>0.11021717279967166</c:v>
                </c:pt>
                <c:pt idx="4">
                  <c:v>0.12596248319962475</c:v>
                </c:pt>
                <c:pt idx="5">
                  <c:v>0.14170779359957786</c:v>
                </c:pt>
                <c:pt idx="6">
                  <c:v>0.15745310399953094</c:v>
                </c:pt>
                <c:pt idx="7">
                  <c:v>0.17319841439948405</c:v>
                </c:pt>
                <c:pt idx="8">
                  <c:v>0.18894372479943713</c:v>
                </c:pt>
                <c:pt idx="9">
                  <c:v>0.20468903519939025</c:v>
                </c:pt>
                <c:pt idx="10">
                  <c:v>0.22043434559934333</c:v>
                </c:pt>
                <c:pt idx="11">
                  <c:v>0.23617965599929644</c:v>
                </c:pt>
                <c:pt idx="12">
                  <c:v>0.25192496639924949</c:v>
                </c:pt>
                <c:pt idx="13">
                  <c:v>0.26767027679920263</c:v>
                </c:pt>
                <c:pt idx="14">
                  <c:v>0.28341558719915572</c:v>
                </c:pt>
                <c:pt idx="15">
                  <c:v>0.2991608975991088</c:v>
                </c:pt>
                <c:pt idx="16">
                  <c:v>0.31490620799906188</c:v>
                </c:pt>
                <c:pt idx="17">
                  <c:v>0.33065151839901502</c:v>
                </c:pt>
                <c:pt idx="18">
                  <c:v>0.3463968287989681</c:v>
                </c:pt>
                <c:pt idx="19">
                  <c:v>0.36214213919892119</c:v>
                </c:pt>
                <c:pt idx="20">
                  <c:v>0.37788744959887427</c:v>
                </c:pt>
                <c:pt idx="21">
                  <c:v>0.39363275999882735</c:v>
                </c:pt>
                <c:pt idx="22">
                  <c:v>0.40937807039878049</c:v>
                </c:pt>
                <c:pt idx="23">
                  <c:v>0.42512338079873357</c:v>
                </c:pt>
                <c:pt idx="24">
                  <c:v>0.44086869119868666</c:v>
                </c:pt>
                <c:pt idx="25">
                  <c:v>0.45661400159863974</c:v>
                </c:pt>
                <c:pt idx="26">
                  <c:v>0.47235931199859288</c:v>
                </c:pt>
                <c:pt idx="27">
                  <c:v>0.48810462239854596</c:v>
                </c:pt>
                <c:pt idx="28">
                  <c:v>0.50384993279849899</c:v>
                </c:pt>
                <c:pt idx="29">
                  <c:v>0.51959524319845218</c:v>
                </c:pt>
                <c:pt idx="30">
                  <c:v>0.53534055359840527</c:v>
                </c:pt>
                <c:pt idx="31">
                  <c:v>0.55108586399835835</c:v>
                </c:pt>
                <c:pt idx="32">
                  <c:v>0.56683117439831143</c:v>
                </c:pt>
                <c:pt idx="33">
                  <c:v>0.58257648479826452</c:v>
                </c:pt>
                <c:pt idx="34">
                  <c:v>0.5983217951982176</c:v>
                </c:pt>
                <c:pt idx="35">
                  <c:v>0.61406710559817068</c:v>
                </c:pt>
                <c:pt idx="36">
                  <c:v>0.62981241599812376</c:v>
                </c:pt>
                <c:pt idx="37">
                  <c:v>0.64555772639807685</c:v>
                </c:pt>
                <c:pt idx="38">
                  <c:v>0.66130303679803004</c:v>
                </c:pt>
                <c:pt idx="39">
                  <c:v>0.67704834719798312</c:v>
                </c:pt>
                <c:pt idx="40">
                  <c:v>0.69279365759793621</c:v>
                </c:pt>
                <c:pt idx="41">
                  <c:v>0.70853896799788929</c:v>
                </c:pt>
                <c:pt idx="42">
                  <c:v>0.72428427839784237</c:v>
                </c:pt>
                <c:pt idx="43">
                  <c:v>0.74002958879779546</c:v>
                </c:pt>
                <c:pt idx="44">
                  <c:v>0.75577489919774854</c:v>
                </c:pt>
                <c:pt idx="45">
                  <c:v>0.77152020959770162</c:v>
                </c:pt>
                <c:pt idx="46">
                  <c:v>0.78726551999765471</c:v>
                </c:pt>
                <c:pt idx="47">
                  <c:v>0.8030108303976079</c:v>
                </c:pt>
                <c:pt idx="48">
                  <c:v>0.81875614079756098</c:v>
                </c:pt>
                <c:pt idx="49">
                  <c:v>0.83450145119751407</c:v>
                </c:pt>
                <c:pt idx="50">
                  <c:v>0.85024676159746715</c:v>
                </c:pt>
                <c:pt idx="51">
                  <c:v>0.86599207199742023</c:v>
                </c:pt>
                <c:pt idx="52">
                  <c:v>0.88173738239737331</c:v>
                </c:pt>
                <c:pt idx="53">
                  <c:v>0.8974826927973264</c:v>
                </c:pt>
                <c:pt idx="54">
                  <c:v>0.91322800319727948</c:v>
                </c:pt>
                <c:pt idx="55">
                  <c:v>0.92897331359723256</c:v>
                </c:pt>
                <c:pt idx="56">
                  <c:v>0.94471862399718576</c:v>
                </c:pt>
                <c:pt idx="57">
                  <c:v>0.96046393439713884</c:v>
                </c:pt>
                <c:pt idx="58">
                  <c:v>0.97620924479709192</c:v>
                </c:pt>
                <c:pt idx="59">
                  <c:v>0.99195455519704501</c:v>
                </c:pt>
                <c:pt idx="60">
                  <c:v>1.007699865596998</c:v>
                </c:pt>
                <c:pt idx="61">
                  <c:v>1.0234451759969512</c:v>
                </c:pt>
                <c:pt idx="62">
                  <c:v>1.0391904863969044</c:v>
                </c:pt>
                <c:pt idx="63">
                  <c:v>1.0549357967968573</c:v>
                </c:pt>
                <c:pt idx="64">
                  <c:v>1.0706811071968105</c:v>
                </c:pt>
              </c:numCache>
            </c:numRef>
          </c:xVal>
          <c:yVal>
            <c:numRef>
              <c:f>EDisponible!$AM$20:$AM$84</c:f>
              <c:numCache>
                <c:formatCode>General</c:formatCode>
                <c:ptCount val="65"/>
                <c:pt idx="0">
                  <c:v>0.40981089867721027</c:v>
                </c:pt>
                <c:pt idx="1">
                  <c:v>0.40366238999579807</c:v>
                </c:pt>
                <c:pt idx="2">
                  <c:v>0.39828487839290294</c:v>
                </c:pt>
                <c:pt idx="3">
                  <c:v>0.39351768274436</c:v>
                </c:pt>
                <c:pt idx="4">
                  <c:v>0.38925529148007193</c:v>
                </c:pt>
                <c:pt idx="5">
                  <c:v>0.3854237994084676</c:v>
                </c:pt>
                <c:pt idx="6">
                  <c:v>0.38196892379810971</c:v>
                </c:pt>
                <c:pt idx="7">
                  <c:v>0.37884931901383473</c:v>
                </c:pt>
                <c:pt idx="8">
                  <c:v>0.37603257795620543</c:v>
                </c:pt>
                <c:pt idx="9">
                  <c:v>0.37349270639367316</c:v>
                </c:pt>
                <c:pt idx="10">
                  <c:v>0.37120845589329388</c:v>
                </c:pt>
                <c:pt idx="11">
                  <c:v>0.36916218281226265</c:v>
                </c:pt>
                <c:pt idx="12">
                  <c:v>0.36733904317820559</c:v>
                </c:pt>
                <c:pt idx="13">
                  <c:v>0.36572640962163477</c:v>
                </c:pt>
                <c:pt idx="14">
                  <c:v>0.36431343953481399</c:v>
                </c:pt>
                <c:pt idx="15">
                  <c:v>0.363090748906994</c:v>
                </c:pt>
                <c:pt idx="16">
                  <c:v>0.36205016168693854</c:v>
                </c:pt>
                <c:pt idx="17">
                  <c:v>0.36118451420804426</c:v>
                </c:pt>
                <c:pt idx="18">
                  <c:v>0.36048750047189376</c:v>
                </c:pt>
                <c:pt idx="19">
                  <c:v>0.35995354823370773</c:v>
                </c:pt>
                <c:pt idx="20">
                  <c:v>0.35957771864173976</c:v>
                </c:pt>
                <c:pt idx="21">
                  <c:v>0.35935562412226324</c:v>
                </c:pt>
                <c:pt idx="22">
                  <c:v>0.35928336056526411</c:v>
                </c:pt>
                <c:pt idx="23">
                  <c:v>0.35935745084000298</c:v>
                </c:pt>
                <c:pt idx="24">
                  <c:v>0.35957479737577824</c:v>
                </c:pt>
                <c:pt idx="25">
                  <c:v>0.35993264206210679</c:v>
                </c:pt>
                <c:pt idx="26">
                  <c:v>0.36042853210859638</c:v>
                </c:pt>
                <c:pt idx="27">
                  <c:v>0.36106029079527729</c:v>
                </c:pt>
                <c:pt idx="28">
                  <c:v>0.36182599226511791</c:v>
                </c:pt>
                <c:pt idx="29">
                  <c:v>0.36272393968013861</c:v>
                </c:pt>
                <c:pt idx="30">
                  <c:v>0.36375264619407816</c:v>
                </c:pt>
                <c:pt idx="31">
                  <c:v>0.36491081829738908</c:v>
                </c:pt>
                <c:pt idx="32">
                  <c:v>0.3661973411713878</c:v>
                </c:pt>
                <c:pt idx="33">
                  <c:v>0.36761126575271541</c:v>
                </c:pt>
                <c:pt idx="34">
                  <c:v>0.3691517972607159</c:v>
                </c:pt>
                <c:pt idx="35">
                  <c:v>0.37081828498175023</c:v>
                </c:pt>
                <c:pt idx="36">
                  <c:v>0.3726102131380078</c:v>
                </c:pt>
                <c:pt idx="37">
                  <c:v>0.37452719269570273</c:v>
                </c:pt>
                <c:pt idx="38">
                  <c:v>0.376568953989943</c:v>
                </c:pt>
                <c:pt idx="39">
                  <c:v>0.378735340061993</c:v>
                </c:pt>
                <c:pt idx="40">
                  <c:v>0.38102630061993731</c:v>
                </c:pt>
                <c:pt idx="41">
                  <c:v>0.38344188654643824</c:v>
                </c:pt>
                <c:pt idx="42">
                  <c:v>0.38598224488791</c:v>
                </c:pt>
                <c:pt idx="43">
                  <c:v>0.388647614268332</c:v>
                </c:pt>
                <c:pt idx="44">
                  <c:v>0.39143832067842926</c:v>
                </c:pt>
                <c:pt idx="45">
                  <c:v>0.39435477359731375</c:v>
                </c:pt>
                <c:pt idx="46">
                  <c:v>0.39739746240905327</c:v>
                </c:pt>
                <c:pt idx="47">
                  <c:v>0.40056695308125467</c:v>
                </c:pt>
                <c:pt idx="48">
                  <c:v>0.40386388507666149</c:v>
                </c:pt>
                <c:pt idx="49">
                  <c:v>0.40728896847215595</c:v>
                </c:pt>
                <c:pt idx="50">
                  <c:v>0.41084298126244451</c:v>
                </c:pt>
                <c:pt idx="51">
                  <c:v>0.41452676682822731</c:v>
                </c:pt>
                <c:pt idx="52">
                  <c:v>0.41593839006828015</c:v>
                </c:pt>
                <c:pt idx="53">
                  <c:v>0.4149621290870868</c:v>
                </c:pt>
                <c:pt idx="54">
                  <c:v>0.41392504999004576</c:v>
                </c:pt>
                <c:pt idx="55">
                  <c:v>0.41281983822784218</c:v>
                </c:pt>
                <c:pt idx="56">
                  <c:v>0.41163892900486865</c:v>
                </c:pt>
                <c:pt idx="57">
                  <c:v>0.41037449517884744</c:v>
                </c:pt>
                <c:pt idx="58">
                  <c:v>0.40901843492758183</c:v>
                </c:pt>
                <c:pt idx="59">
                  <c:v>0.40756235916781713</c:v>
                </c:pt>
                <c:pt idx="60">
                  <c:v>0.40599757871179687</c:v>
                </c:pt>
                <c:pt idx="61">
                  <c:v>0.40431509114761999</c:v>
                </c:pt>
                <c:pt idx="62">
                  <c:v>0.40250556742994681</c:v>
                </c:pt>
                <c:pt idx="63">
                  <c:v>0.40055933816799477</c:v>
                </c:pt>
                <c:pt idx="64">
                  <c:v>0.39846637959808068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F-48AD-A763-43C749271166}"/>
            </c:ext>
          </c:extLst>
        </c:ser>
        <c:ser>
          <c:idx val="2"/>
          <c:order val="5"/>
          <c:tx>
            <c:v>H=7500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EDisponible!$G$20:$G$84</c:f>
              <c:numCache>
                <c:formatCode>General</c:formatCode>
                <c:ptCount val="65"/>
                <c:pt idx="0">
                  <c:v>6.4250955513637353E-2</c:v>
                </c:pt>
                <c:pt idx="1">
                  <c:v>8.0313694392046692E-2</c:v>
                </c:pt>
                <c:pt idx="2">
                  <c:v>9.637643327045603E-2</c:v>
                </c:pt>
                <c:pt idx="3">
                  <c:v>0.11243917214886537</c:v>
                </c:pt>
                <c:pt idx="4">
                  <c:v>0.12850191102727471</c:v>
                </c:pt>
                <c:pt idx="5">
                  <c:v>0.14456464990568405</c:v>
                </c:pt>
                <c:pt idx="6">
                  <c:v>0.16062738878409338</c:v>
                </c:pt>
                <c:pt idx="7">
                  <c:v>0.17669012766250272</c:v>
                </c:pt>
                <c:pt idx="8">
                  <c:v>0.19275286654091206</c:v>
                </c:pt>
                <c:pt idx="9">
                  <c:v>0.2088156054193214</c:v>
                </c:pt>
                <c:pt idx="10">
                  <c:v>0.22487834429773074</c:v>
                </c:pt>
                <c:pt idx="11">
                  <c:v>0.24094108317614008</c:v>
                </c:pt>
                <c:pt idx="12">
                  <c:v>0.25700382205454941</c:v>
                </c:pt>
                <c:pt idx="13">
                  <c:v>0.27306656093295878</c:v>
                </c:pt>
                <c:pt idx="14">
                  <c:v>0.28912929981136809</c:v>
                </c:pt>
                <c:pt idx="15">
                  <c:v>0.30519203868977746</c:v>
                </c:pt>
                <c:pt idx="16">
                  <c:v>0.32125477756818677</c:v>
                </c:pt>
                <c:pt idx="17">
                  <c:v>0.33731751644659613</c:v>
                </c:pt>
                <c:pt idx="18">
                  <c:v>0.35338025532500544</c:v>
                </c:pt>
                <c:pt idx="19">
                  <c:v>0.36944299420341481</c:v>
                </c:pt>
                <c:pt idx="20">
                  <c:v>0.38550573308182412</c:v>
                </c:pt>
                <c:pt idx="21">
                  <c:v>0.40156847196023349</c:v>
                </c:pt>
                <c:pt idx="22">
                  <c:v>0.4176312108386428</c:v>
                </c:pt>
                <c:pt idx="23">
                  <c:v>0.43369394971705216</c:v>
                </c:pt>
                <c:pt idx="24">
                  <c:v>0.44975668859546147</c:v>
                </c:pt>
                <c:pt idx="25">
                  <c:v>0.46581942747387084</c:v>
                </c:pt>
                <c:pt idx="26">
                  <c:v>0.48188216635228015</c:v>
                </c:pt>
                <c:pt idx="27">
                  <c:v>0.49794490523068952</c:v>
                </c:pt>
                <c:pt idx="28">
                  <c:v>0.51400764410909883</c:v>
                </c:pt>
                <c:pt idx="29">
                  <c:v>0.53007038298750819</c:v>
                </c:pt>
                <c:pt idx="30">
                  <c:v>0.54613312186591756</c:v>
                </c:pt>
                <c:pt idx="31">
                  <c:v>0.56219586074432693</c:v>
                </c:pt>
                <c:pt idx="32">
                  <c:v>0.57825859962273618</c:v>
                </c:pt>
                <c:pt idx="33">
                  <c:v>0.59432133850114555</c:v>
                </c:pt>
                <c:pt idx="34">
                  <c:v>0.61038407737955491</c:v>
                </c:pt>
                <c:pt idx="35">
                  <c:v>0.62644681625796428</c:v>
                </c:pt>
                <c:pt idx="36">
                  <c:v>0.64250955513637353</c:v>
                </c:pt>
                <c:pt idx="37">
                  <c:v>0.6585722940147829</c:v>
                </c:pt>
                <c:pt idx="38">
                  <c:v>0.67463503289319227</c:v>
                </c:pt>
                <c:pt idx="39">
                  <c:v>0.69069777177160163</c:v>
                </c:pt>
                <c:pt idx="40">
                  <c:v>0.70676051065001089</c:v>
                </c:pt>
                <c:pt idx="41">
                  <c:v>0.72282324952842025</c:v>
                </c:pt>
                <c:pt idx="42">
                  <c:v>0.73888598840682962</c:v>
                </c:pt>
                <c:pt idx="43">
                  <c:v>0.75494872728523899</c:v>
                </c:pt>
                <c:pt idx="44">
                  <c:v>0.77101146616364824</c:v>
                </c:pt>
                <c:pt idx="45">
                  <c:v>0.78707420504205761</c:v>
                </c:pt>
                <c:pt idx="46">
                  <c:v>0.80313694392046697</c:v>
                </c:pt>
                <c:pt idx="47">
                  <c:v>0.81919968279887634</c:v>
                </c:pt>
                <c:pt idx="48">
                  <c:v>0.83526242167728559</c:v>
                </c:pt>
                <c:pt idx="49">
                  <c:v>0.85132516055569496</c:v>
                </c:pt>
                <c:pt idx="50">
                  <c:v>0.86738789943410433</c:v>
                </c:pt>
                <c:pt idx="51">
                  <c:v>0.88345063831251369</c:v>
                </c:pt>
                <c:pt idx="52">
                  <c:v>0.89951337719092295</c:v>
                </c:pt>
                <c:pt idx="53">
                  <c:v>0.91557611606933231</c:v>
                </c:pt>
                <c:pt idx="54">
                  <c:v>0.93163885494774168</c:v>
                </c:pt>
                <c:pt idx="55">
                  <c:v>0.94770159382615105</c:v>
                </c:pt>
                <c:pt idx="56">
                  <c:v>0.9637643327045603</c:v>
                </c:pt>
                <c:pt idx="57">
                  <c:v>0.97982707158296967</c:v>
                </c:pt>
                <c:pt idx="58">
                  <c:v>0.99588981046137903</c:v>
                </c:pt>
                <c:pt idx="59">
                  <c:v>1.0119525493397883</c:v>
                </c:pt>
                <c:pt idx="60">
                  <c:v>1.0280152882181977</c:v>
                </c:pt>
                <c:pt idx="61">
                  <c:v>1.044078027096607</c:v>
                </c:pt>
                <c:pt idx="62">
                  <c:v>1.0601407659750164</c:v>
                </c:pt>
                <c:pt idx="63">
                  <c:v>1.0762035048534258</c:v>
                </c:pt>
                <c:pt idx="64">
                  <c:v>1.0922662437318351</c:v>
                </c:pt>
              </c:numCache>
            </c:numRef>
          </c:xVal>
          <c:yVal>
            <c:numRef>
              <c:f>EDisponible!$AS$20:$AS$84</c:f>
              <c:numCache>
                <c:formatCode>General</c:formatCode>
                <c:ptCount val="65"/>
                <c:pt idx="0">
                  <c:v>0.33188973362341445</c:v>
                </c:pt>
                <c:pt idx="1">
                  <c:v>0.3268681907339025</c:v>
                </c:pt>
                <c:pt idx="2">
                  <c:v>0.32248085377707891</c:v>
                </c:pt>
                <c:pt idx="3">
                  <c:v>0.31859601308375435</c:v>
                </c:pt>
                <c:pt idx="4">
                  <c:v>0.31512716026174009</c:v>
                </c:pt>
                <c:pt idx="5">
                  <c:v>0.31201368647190458</c:v>
                </c:pt>
                <c:pt idx="6">
                  <c:v>0.30921106532931636</c:v>
                </c:pt>
                <c:pt idx="7">
                  <c:v>0.30668537599395118</c:v>
                </c:pt>
                <c:pt idx="8">
                  <c:v>0.30441002716409371</c:v>
                </c:pt>
                <c:pt idx="9">
                  <c:v>0.30236368763753335</c:v>
                </c:pt>
                <c:pt idx="10">
                  <c:v>0.30052892025034172</c:v>
                </c:pt>
                <c:pt idx="11">
                  <c:v>0.2988912467928706</c:v>
                </c:pt>
                <c:pt idx="12">
                  <c:v>0.29743848811799761</c:v>
                </c:pt>
                <c:pt idx="13">
                  <c:v>0.29616028618619999</c:v>
                </c:pt>
                <c:pt idx="14">
                  <c:v>0.2950477500247507</c:v>
                </c:pt>
                <c:pt idx="15">
                  <c:v>0.29409318828361891</c:v>
                </c:pt>
                <c:pt idx="16">
                  <c:v>0.29328990368708685</c:v>
                </c:pt>
                <c:pt idx="17">
                  <c:v>0.29263203261372367</c:v>
                </c:pt>
                <c:pt idx="18">
                  <c:v>0.29211441816625633</c:v>
                </c:pt>
                <c:pt idx="19">
                  <c:v>0.29173250849087967</c:v>
                </c:pt>
                <c:pt idx="20">
                  <c:v>0.2914822744066064</c:v>
                </c:pt>
                <c:pt idx="21">
                  <c:v>0.29136014199440563</c:v>
                </c:pt>
                <c:pt idx="22">
                  <c:v>0.29136293691304366</c:v>
                </c:pt>
                <c:pt idx="23">
                  <c:v>0.29148783800664779</c:v>
                </c:pt>
                <c:pt idx="24">
                  <c:v>0.29173233834766682</c:v>
                </c:pt>
                <c:pt idx="25">
                  <c:v>0.29209421228410026</c:v>
                </c:pt>
                <c:pt idx="26">
                  <c:v>0.29257148737622529</c:v>
                </c:pt>
                <c:pt idx="27">
                  <c:v>0.29316242034613815</c:v>
                </c:pt>
                <c:pt idx="28">
                  <c:v>0.29386547634449328</c:v>
                </c:pt>
                <c:pt idx="29">
                  <c:v>0.29467931097791783</c:v>
                </c:pt>
                <c:pt idx="30">
                  <c:v>0.29560275464838348</c:v>
                </c:pt>
                <c:pt idx="31">
                  <c:v>0.29663479884011362</c:v>
                </c:pt>
                <c:pt idx="32">
                  <c:v>0.29777458405603152</c:v>
                </c:pt>
                <c:pt idx="33">
                  <c:v>0.29902138915849918</c:v>
                </c:pt>
                <c:pt idx="34">
                  <c:v>0.30037462191127506</c:v>
                </c:pt>
                <c:pt idx="35">
                  <c:v>0.30183381055357617</c:v>
                </c:pt>
                <c:pt idx="36">
                  <c:v>0.30339859626462923</c:v>
                </c:pt>
                <c:pt idx="37">
                  <c:v>0.3050687263995055</c:v>
                </c:pt>
                <c:pt idx="38">
                  <c:v>0.30684404839539875</c:v>
                </c:pt>
                <c:pt idx="39">
                  <c:v>0.30872450426263709</c:v>
                </c:pt>
                <c:pt idx="40">
                  <c:v>0.31071012558723404</c:v>
                </c:pt>
                <c:pt idx="41">
                  <c:v>0.31280102898221374</c:v>
                </c:pt>
                <c:pt idx="42">
                  <c:v>0.31499741193364583</c:v>
                </c:pt>
                <c:pt idx="43">
                  <c:v>0.31729954899463603</c:v>
                </c:pt>
                <c:pt idx="44">
                  <c:v>0.3197077882866764</c:v>
                </c:pt>
                <c:pt idx="45">
                  <c:v>0.32222254827297253</c:v>
                </c:pt>
                <c:pt idx="46">
                  <c:v>0.32484431477278947</c:v>
                </c:pt>
                <c:pt idx="47">
                  <c:v>0.3275736381896292</c:v>
                </c:pt>
                <c:pt idx="48">
                  <c:v>0.3304111309292852</c:v>
                </c:pt>
                <c:pt idx="49">
                  <c:v>0.33335746498658059</c:v>
                </c:pt>
                <c:pt idx="50">
                  <c:v>0.33641336968198371</c:v>
                </c:pt>
                <c:pt idx="51">
                  <c:v>0.33957962953135545</c:v>
                </c:pt>
                <c:pt idx="52">
                  <c:v>0.34285708223385691</c:v>
                </c:pt>
                <c:pt idx="53">
                  <c:v>0.34624661676460211</c:v>
                </c:pt>
                <c:pt idx="54">
                  <c:v>0.34974917155997726</c:v>
                </c:pt>
                <c:pt idx="55">
                  <c:v>0.35336573278473554</c:v>
                </c:pt>
                <c:pt idx="56">
                  <c:v>0.35709733267098853</c:v>
                </c:pt>
                <c:pt idx="57">
                  <c:v>0.36094504792013632</c:v>
                </c:pt>
                <c:pt idx="58">
                  <c:v>0.36490999815955166</c:v>
                </c:pt>
                <c:pt idx="59">
                  <c:v>0.36444760658260583</c:v>
                </c:pt>
                <c:pt idx="60">
                  <c:v>0.36368064981153242</c:v>
                </c:pt>
                <c:pt idx="61">
                  <c:v>0.36282680949470708</c:v>
                </c:pt>
                <c:pt idx="62">
                  <c:v>0.36187828424022084</c:v>
                </c:pt>
                <c:pt idx="63">
                  <c:v>0.36082697888520049</c:v>
                </c:pt>
                <c:pt idx="64">
                  <c:v>0.35966449204517142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F-48AD-A763-43C749271166}"/>
            </c:ext>
          </c:extLst>
        </c:ser>
        <c:ser>
          <c:idx val="1"/>
          <c:order val="6"/>
          <c:tx>
            <c:v>H=9000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EDisponible!$H$20:$H$84</c:f>
              <c:numCache>
                <c:formatCode>General</c:formatCode>
                <c:ptCount val="65"/>
                <c:pt idx="0">
                  <c:v>6.5600694753488883E-2</c:v>
                </c:pt>
                <c:pt idx="1">
                  <c:v>8.2000868441861108E-2</c:v>
                </c:pt>
                <c:pt idx="2">
                  <c:v>9.8401042130233332E-2</c:v>
                </c:pt>
                <c:pt idx="3">
                  <c:v>0.11480121581860556</c:v>
                </c:pt>
                <c:pt idx="4">
                  <c:v>0.13120138950697777</c:v>
                </c:pt>
                <c:pt idx="5">
                  <c:v>0.14760156319535001</c:v>
                </c:pt>
                <c:pt idx="6">
                  <c:v>0.16400173688372222</c:v>
                </c:pt>
                <c:pt idx="7">
                  <c:v>0.18040191057209443</c:v>
                </c:pt>
                <c:pt idx="8">
                  <c:v>0.19680208426046666</c:v>
                </c:pt>
                <c:pt idx="9">
                  <c:v>0.21320225794883887</c:v>
                </c:pt>
                <c:pt idx="10">
                  <c:v>0.22960243163721111</c:v>
                </c:pt>
                <c:pt idx="11">
                  <c:v>0.24600260532558332</c:v>
                </c:pt>
                <c:pt idx="12">
                  <c:v>0.26240277901395553</c:v>
                </c:pt>
                <c:pt idx="13">
                  <c:v>0.27880295270232774</c:v>
                </c:pt>
                <c:pt idx="14">
                  <c:v>0.29520312639070001</c:v>
                </c:pt>
                <c:pt idx="15">
                  <c:v>0.31160330007907222</c:v>
                </c:pt>
                <c:pt idx="16">
                  <c:v>0.32800347376744443</c:v>
                </c:pt>
                <c:pt idx="17">
                  <c:v>0.34440364745581664</c:v>
                </c:pt>
                <c:pt idx="18">
                  <c:v>0.36080382114418885</c:v>
                </c:pt>
                <c:pt idx="19">
                  <c:v>0.37720399483256112</c:v>
                </c:pt>
                <c:pt idx="20">
                  <c:v>0.39360416852093333</c:v>
                </c:pt>
                <c:pt idx="21">
                  <c:v>0.41000434220930554</c:v>
                </c:pt>
                <c:pt idx="22">
                  <c:v>0.42640451589767775</c:v>
                </c:pt>
                <c:pt idx="23">
                  <c:v>0.44280468958605002</c:v>
                </c:pt>
                <c:pt idx="24">
                  <c:v>0.45920486327442223</c:v>
                </c:pt>
                <c:pt idx="25">
                  <c:v>0.47560503696279444</c:v>
                </c:pt>
                <c:pt idx="26">
                  <c:v>0.49200521065116665</c:v>
                </c:pt>
                <c:pt idx="27">
                  <c:v>0.50840538433953886</c:v>
                </c:pt>
                <c:pt idx="28">
                  <c:v>0.52480555802791107</c:v>
                </c:pt>
                <c:pt idx="29">
                  <c:v>0.54120573171628328</c:v>
                </c:pt>
                <c:pt idx="30">
                  <c:v>0.55760590540465549</c:v>
                </c:pt>
                <c:pt idx="31">
                  <c:v>0.57400607909302781</c:v>
                </c:pt>
                <c:pt idx="32">
                  <c:v>0.59040625278140002</c:v>
                </c:pt>
                <c:pt idx="33">
                  <c:v>0.60680642646977223</c:v>
                </c:pt>
                <c:pt idx="34">
                  <c:v>0.62320660015814444</c:v>
                </c:pt>
                <c:pt idx="35">
                  <c:v>0.63960677384651665</c:v>
                </c:pt>
                <c:pt idx="36">
                  <c:v>0.65600694753488886</c:v>
                </c:pt>
                <c:pt idx="37">
                  <c:v>0.67240712122326107</c:v>
                </c:pt>
                <c:pt idx="38">
                  <c:v>0.68880729491163328</c:v>
                </c:pt>
                <c:pt idx="39">
                  <c:v>0.70520746860000549</c:v>
                </c:pt>
                <c:pt idx="40">
                  <c:v>0.7216076422883777</c:v>
                </c:pt>
                <c:pt idx="41">
                  <c:v>0.73800781597675003</c:v>
                </c:pt>
                <c:pt idx="42">
                  <c:v>0.75440798966512224</c:v>
                </c:pt>
                <c:pt idx="43">
                  <c:v>0.77080816335349445</c:v>
                </c:pt>
                <c:pt idx="44">
                  <c:v>0.78720833704186666</c:v>
                </c:pt>
                <c:pt idx="45">
                  <c:v>0.80360851073023887</c:v>
                </c:pt>
                <c:pt idx="46">
                  <c:v>0.82000868441861108</c:v>
                </c:pt>
                <c:pt idx="47">
                  <c:v>0.83640885810698329</c:v>
                </c:pt>
                <c:pt idx="48">
                  <c:v>0.8528090317953555</c:v>
                </c:pt>
                <c:pt idx="49">
                  <c:v>0.86920920548372771</c:v>
                </c:pt>
                <c:pt idx="50">
                  <c:v>0.88560937917210003</c:v>
                </c:pt>
                <c:pt idx="51">
                  <c:v>0.90200955286047224</c:v>
                </c:pt>
                <c:pt idx="52">
                  <c:v>0.91840972654884445</c:v>
                </c:pt>
                <c:pt idx="53">
                  <c:v>0.93480990023721666</c:v>
                </c:pt>
                <c:pt idx="54">
                  <c:v>0.95121007392558887</c:v>
                </c:pt>
                <c:pt idx="55">
                  <c:v>0.96761024761396108</c:v>
                </c:pt>
                <c:pt idx="56">
                  <c:v>0.98401042130233329</c:v>
                </c:pt>
                <c:pt idx="57">
                  <c:v>1.0004105949907056</c:v>
                </c:pt>
                <c:pt idx="58">
                  <c:v>1.0168107686790777</c:v>
                </c:pt>
                <c:pt idx="59">
                  <c:v>1.03321094236745</c:v>
                </c:pt>
                <c:pt idx="60">
                  <c:v>1.0496111160558221</c:v>
                </c:pt>
                <c:pt idx="61">
                  <c:v>1.0660112897441945</c:v>
                </c:pt>
                <c:pt idx="62">
                  <c:v>1.0824114634325666</c:v>
                </c:pt>
                <c:pt idx="63">
                  <c:v>1.0988116371209389</c:v>
                </c:pt>
                <c:pt idx="64">
                  <c:v>1.115211810809311</c:v>
                </c:pt>
              </c:numCache>
            </c:numRef>
          </c:xVal>
          <c:yVal>
            <c:numRef>
              <c:f>EDisponible!$AY$20:$AY$84</c:f>
              <c:numCache>
                <c:formatCode>General</c:formatCode>
                <c:ptCount val="65"/>
                <c:pt idx="0">
                  <c:v>0.2664367467198564</c:v>
                </c:pt>
                <c:pt idx="1">
                  <c:v>0.26237033437821305</c:v>
                </c:pt>
                <c:pt idx="2">
                  <c:v>0.25882144269417895</c:v>
                </c:pt>
                <c:pt idx="3">
                  <c:v>0.25568299480526513</c:v>
                </c:pt>
                <c:pt idx="4">
                  <c:v>0.25288464327730636</c:v>
                </c:pt>
                <c:pt idx="5">
                  <c:v>0.25037708952111071</c:v>
                </c:pt>
                <c:pt idx="6">
                  <c:v>0.24812410800964449</c:v>
                </c:pt>
                <c:pt idx="7">
                  <c:v>0.24609809633677679</c:v>
                </c:pt>
                <c:pt idx="8">
                  <c:v>0.24427741328555722</c:v>
                </c:pt>
                <c:pt idx="9">
                  <c:v>0.24264469714858491</c:v>
                </c:pt>
                <c:pt idx="10">
                  <c:v>0.24118575551904187</c:v>
                </c:pt>
                <c:pt idx="11">
                  <c:v>0.23988880525384418</c:v>
                </c:pt>
                <c:pt idx="12">
                  <c:v>0.23874393604508198</c:v>
                </c:pt>
                <c:pt idx="13">
                  <c:v>0.23774272183403911</c:v>
                </c:pt>
                <c:pt idx="14">
                  <c:v>0.23687793292530779</c:v>
                </c:pt>
                <c:pt idx="15">
                  <c:v>0.23614331847998529</c:v>
                </c:pt>
                <c:pt idx="16">
                  <c:v>0.23553343931712278</c:v>
                </c:pt>
                <c:pt idx="17">
                  <c:v>0.23504353739842124</c:v>
                </c:pt>
                <c:pt idx="18">
                  <c:v>0.23466943253836589</c:v>
                </c:pt>
                <c:pt idx="19">
                  <c:v>0.2344074396429478</c:v>
                </c:pt>
                <c:pt idx="20">
                  <c:v>0.23425430164983616</c:v>
                </c:pt>
                <c:pt idx="21">
                  <c:v>0.23420713463417792</c:v>
                </c:pt>
                <c:pt idx="22">
                  <c:v>0.23426338245201711</c:v>
                </c:pt>
                <c:pt idx="23">
                  <c:v>0.23442077894191091</c:v>
                </c:pt>
                <c:pt idx="24">
                  <c:v>0.23467731617557167</c:v>
                </c:pt>
                <c:pt idx="25">
                  <c:v>0.23503121759393092</c:v>
                </c:pt>
                <c:pt idx="26">
                  <c:v>0.23548091512215444</c:v>
                </c:pt>
                <c:pt idx="27">
                  <c:v>0.23602502955063351</c:v>
                </c:pt>
                <c:pt idx="28">
                  <c:v>0.23666235361617949</c:v>
                </c:pt>
                <c:pt idx="29">
                  <c:v>0.23739183733069652</c:v>
                </c:pt>
                <c:pt idx="30">
                  <c:v>0.2382125751922603</c:v>
                </c:pt>
                <c:pt idx="31">
                  <c:v>0.23912379498205399</c:v>
                </c:pt>
                <c:pt idx="32">
                  <c:v>0.24012484790462171</c:v>
                </c:pt>
                <c:pt idx="33">
                  <c:v>0.24121519987178633</c:v>
                </c:pt>
                <c:pt idx="34">
                  <c:v>0.24239442376487888</c:v>
                </c:pt>
                <c:pt idx="35">
                  <c:v>0.24366219253753385</c:v>
                </c:pt>
                <c:pt idx="36">
                  <c:v>0.24501827304367255</c:v>
                </c:pt>
                <c:pt idx="37">
                  <c:v>0.24646252049352649</c:v>
                </c:pt>
                <c:pt idx="38">
                  <c:v>0.24799487345548313</c:v>
                </c:pt>
                <c:pt idx="39">
                  <c:v>0.24961534933384938</c:v>
                </c:pt>
                <c:pt idx="40">
                  <c:v>0.25132404026280858</c:v>
                </c:pt>
                <c:pt idx="41">
                  <c:v>0.25312110936532883</c:v>
                </c:pt>
                <c:pt idx="42">
                  <c:v>0.25500678733286436</c:v>
                </c:pt>
                <c:pt idx="43">
                  <c:v>0.25698136928763327</c:v>
                </c:pt>
                <c:pt idx="44">
                  <c:v>0.25904521189427387</c:v>
                </c:pt>
                <c:pt idx="45">
                  <c:v>0.26119873069191607</c:v>
                </c:pt>
                <c:pt idx="46">
                  <c:v>0.26344239762131266</c:v>
                </c:pt>
                <c:pt idx="47">
                  <c:v>0.26577673872473762</c:v>
                </c:pt>
                <c:pt idx="48">
                  <c:v>0.2682023319989954</c:v>
                </c:pt>
                <c:pt idx="49">
                  <c:v>0.27071980538412732</c:v>
                </c:pt>
                <c:pt idx="50">
                  <c:v>0.27332983487235069</c:v>
                </c:pt>
                <c:pt idx="51">
                  <c:v>0.27603314272343482</c:v>
                </c:pt>
                <c:pt idx="52">
                  <c:v>0.27883049577417046</c:v>
                </c:pt>
                <c:pt idx="53">
                  <c:v>0.28172270383085091</c:v>
                </c:pt>
                <c:pt idx="54">
                  <c:v>0.28471061813477472</c:v>
                </c:pt>
                <c:pt idx="55">
                  <c:v>0.28779512989173683</c:v>
                </c:pt>
                <c:pt idx="56">
                  <c:v>0.29097716885731784</c:v>
                </c:pt>
                <c:pt idx="57">
                  <c:v>0.29425770197050527</c:v>
                </c:pt>
                <c:pt idx="58">
                  <c:v>0.29763773202883437</c:v>
                </c:pt>
                <c:pt idx="59">
                  <c:v>0.30111829639879334</c:v>
                </c:pt>
                <c:pt idx="60">
                  <c:v>0.30470046575575194</c:v>
                </c:pt>
                <c:pt idx="61">
                  <c:v>0.30838534284809993</c:v>
                </c:pt>
                <c:pt idx="62">
                  <c:v>0.31217406128068342</c:v>
                </c:pt>
                <c:pt idx="63">
                  <c:v>0.31606778431297439</c:v>
                </c:pt>
                <c:pt idx="64">
                  <c:v>0.31993277887910243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F-48AD-A763-43C749271166}"/>
            </c:ext>
          </c:extLst>
        </c:ser>
        <c:ser>
          <c:idx val="0"/>
          <c:order val="7"/>
          <c:tx>
            <c:v>H=10500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EDisponible!$I$20:$I$84</c:f>
              <c:numCache>
                <c:formatCode>General</c:formatCode>
                <c:ptCount val="65"/>
                <c:pt idx="0">
                  <c:v>6.703923488221479E-2</c:v>
                </c:pt>
                <c:pt idx="1">
                  <c:v>8.3799043602768478E-2</c:v>
                </c:pt>
                <c:pt idx="2">
                  <c:v>0.10055885232332218</c:v>
                </c:pt>
                <c:pt idx="3">
                  <c:v>0.11731866104387588</c:v>
                </c:pt>
                <c:pt idx="4">
                  <c:v>0.13407846976442958</c:v>
                </c:pt>
                <c:pt idx="5">
                  <c:v>0.15083827848498327</c:v>
                </c:pt>
                <c:pt idx="6">
                  <c:v>0.16759808720553696</c:v>
                </c:pt>
                <c:pt idx="7">
                  <c:v>0.18435789592609067</c:v>
                </c:pt>
                <c:pt idx="8">
                  <c:v>0.20111770464664436</c:v>
                </c:pt>
                <c:pt idx="9">
                  <c:v>0.21787751336719804</c:v>
                </c:pt>
                <c:pt idx="10">
                  <c:v>0.23463732208775176</c:v>
                </c:pt>
                <c:pt idx="11">
                  <c:v>0.25139713080830545</c:v>
                </c:pt>
                <c:pt idx="12">
                  <c:v>0.26815693952885916</c:v>
                </c:pt>
                <c:pt idx="13">
                  <c:v>0.28491674824941282</c:v>
                </c:pt>
                <c:pt idx="14">
                  <c:v>0.30167655696996654</c:v>
                </c:pt>
                <c:pt idx="15">
                  <c:v>0.31843636569052025</c:v>
                </c:pt>
                <c:pt idx="16">
                  <c:v>0.33519617441107391</c:v>
                </c:pt>
                <c:pt idx="17">
                  <c:v>0.35195598313162763</c:v>
                </c:pt>
                <c:pt idx="18">
                  <c:v>0.36871579185218134</c:v>
                </c:pt>
                <c:pt idx="19">
                  <c:v>0.385475600572735</c:v>
                </c:pt>
                <c:pt idx="20">
                  <c:v>0.40223540929328871</c:v>
                </c:pt>
                <c:pt idx="21">
                  <c:v>0.41899521801384243</c:v>
                </c:pt>
                <c:pt idx="22">
                  <c:v>0.43575502673439609</c:v>
                </c:pt>
                <c:pt idx="23">
                  <c:v>0.4525148354549498</c:v>
                </c:pt>
                <c:pt idx="24">
                  <c:v>0.46927464417550352</c:v>
                </c:pt>
                <c:pt idx="25">
                  <c:v>0.48603445289605718</c:v>
                </c:pt>
                <c:pt idx="26">
                  <c:v>0.50279426161661089</c:v>
                </c:pt>
                <c:pt idx="27">
                  <c:v>0.51955407033716461</c:v>
                </c:pt>
                <c:pt idx="28">
                  <c:v>0.53631387905771832</c:v>
                </c:pt>
                <c:pt idx="29">
                  <c:v>0.55307368777827193</c:v>
                </c:pt>
                <c:pt idx="30">
                  <c:v>0.56983349649882564</c:v>
                </c:pt>
                <c:pt idx="31">
                  <c:v>0.58659330521937936</c:v>
                </c:pt>
                <c:pt idx="32">
                  <c:v>0.60335311393993307</c:v>
                </c:pt>
                <c:pt idx="33">
                  <c:v>0.62011292266048679</c:v>
                </c:pt>
                <c:pt idx="34">
                  <c:v>0.6368727313810405</c:v>
                </c:pt>
                <c:pt idx="35">
                  <c:v>0.65363254010159411</c:v>
                </c:pt>
                <c:pt idx="36">
                  <c:v>0.67039234882214782</c:v>
                </c:pt>
                <c:pt idx="37">
                  <c:v>0.68715215754270154</c:v>
                </c:pt>
                <c:pt idx="38">
                  <c:v>0.70391196626325525</c:v>
                </c:pt>
                <c:pt idx="39">
                  <c:v>0.72067177498380897</c:v>
                </c:pt>
                <c:pt idx="40">
                  <c:v>0.73743158370436268</c:v>
                </c:pt>
                <c:pt idx="41">
                  <c:v>0.75419139242491628</c:v>
                </c:pt>
                <c:pt idx="42">
                  <c:v>0.77095120114547</c:v>
                </c:pt>
                <c:pt idx="43">
                  <c:v>0.78771100986602371</c:v>
                </c:pt>
                <c:pt idx="44">
                  <c:v>0.80447081858657743</c:v>
                </c:pt>
                <c:pt idx="45">
                  <c:v>0.82123062730713114</c:v>
                </c:pt>
                <c:pt idx="46">
                  <c:v>0.83799043602768486</c:v>
                </c:pt>
                <c:pt idx="47">
                  <c:v>0.85475024474823846</c:v>
                </c:pt>
                <c:pt idx="48">
                  <c:v>0.87151005346879218</c:v>
                </c:pt>
                <c:pt idx="49">
                  <c:v>0.88826986218934589</c:v>
                </c:pt>
                <c:pt idx="50">
                  <c:v>0.90502967090989961</c:v>
                </c:pt>
                <c:pt idx="51">
                  <c:v>0.92178947963045332</c:v>
                </c:pt>
                <c:pt idx="52">
                  <c:v>0.93854928835100704</c:v>
                </c:pt>
                <c:pt idx="53">
                  <c:v>0.95530909707156064</c:v>
                </c:pt>
                <c:pt idx="54">
                  <c:v>0.97206890579211436</c:v>
                </c:pt>
                <c:pt idx="55">
                  <c:v>0.98882871451266807</c:v>
                </c:pt>
                <c:pt idx="56">
                  <c:v>1.0055885232332218</c:v>
                </c:pt>
                <c:pt idx="57">
                  <c:v>1.0223483319537754</c:v>
                </c:pt>
                <c:pt idx="58">
                  <c:v>1.0391081406743292</c:v>
                </c:pt>
                <c:pt idx="59">
                  <c:v>1.0558679493948828</c:v>
                </c:pt>
                <c:pt idx="60">
                  <c:v>1.0726277581154366</c:v>
                </c:pt>
                <c:pt idx="61">
                  <c:v>1.0893875668359903</c:v>
                </c:pt>
                <c:pt idx="62">
                  <c:v>1.1061473755565439</c:v>
                </c:pt>
                <c:pt idx="63">
                  <c:v>1.1229071842770977</c:v>
                </c:pt>
                <c:pt idx="64">
                  <c:v>1.1396669929976513</c:v>
                </c:pt>
              </c:numCache>
            </c:numRef>
          </c:xVal>
          <c:yVal>
            <c:numRef>
              <c:f>EDisponible!$BE$20:$BE$84</c:f>
              <c:numCache>
                <c:formatCode>General</c:formatCode>
                <c:ptCount val="65"/>
                <c:pt idx="0">
                  <c:v>0.2118623846728005</c:v>
                </c:pt>
                <c:pt idx="1">
                  <c:v>0.20859974568095876</c:v>
                </c:pt>
                <c:pt idx="2">
                  <c:v>0.20575575167058871</c:v>
                </c:pt>
                <c:pt idx="3">
                  <c:v>0.20324412669441086</c:v>
                </c:pt>
                <c:pt idx="4">
                  <c:v>0.20100817353869363</c:v>
                </c:pt>
                <c:pt idx="5">
                  <c:v>0.19900814903497177</c:v>
                </c:pt>
                <c:pt idx="6">
                  <c:v>0.1972148422406419</c:v>
                </c:pt>
                <c:pt idx="7">
                  <c:v>0.19560599124466579</c:v>
                </c:pt>
                <c:pt idx="8">
                  <c:v>0.19416413953854622</c:v>
                </c:pt>
                <c:pt idx="9">
                  <c:v>0.1928752816434548</c:v>
                </c:pt>
                <c:pt idx="10">
                  <c:v>0.19172796888305171</c:v>
                </c:pt>
                <c:pt idx="11">
                  <c:v>0.19071269712891001</c:v>
                </c:pt>
                <c:pt idx="12">
                  <c:v>0.18982147461540641</c:v>
                </c:pt>
                <c:pt idx="13">
                  <c:v>0.18904750881892557</c:v>
                </c:pt>
                <c:pt idx="14">
                  <c:v>0.18838497444158661</c:v>
                </c:pt>
                <c:pt idx="15">
                  <c:v>0.18782883808351156</c:v>
                </c:pt>
                <c:pt idx="16">
                  <c:v>0.18737472344082623</c:v>
                </c:pt>
                <c:pt idx="17">
                  <c:v>0.18701880605675214</c:v>
                </c:pt>
                <c:pt idx="18">
                  <c:v>0.18675773000868703</c:v>
                </c:pt>
                <c:pt idx="19">
                  <c:v>0.18658854113743265</c:v>
                </c:pt>
                <c:pt idx="20">
                  <c:v>0.18650863293039108</c:v>
                </c:pt>
                <c:pt idx="21">
                  <c:v>0.18651570221046368</c:v>
                </c:pt>
                <c:pt idx="22">
                  <c:v>0.18660771251349625</c:v>
                </c:pt>
                <c:pt idx="23">
                  <c:v>0.18678286355947898</c:v>
                </c:pt>
                <c:pt idx="24">
                  <c:v>0.18703956560146326</c:v>
                </c:pt>
                <c:pt idx="25">
                  <c:v>0.18737641771449937</c:v>
                </c:pt>
                <c:pt idx="26">
                  <c:v>0.18779218929402186</c:v>
                </c:pt>
                <c:pt idx="27">
                  <c:v>0.18828580418898549</c:v>
                </c:pt>
                <c:pt idx="28">
                  <c:v>0.18885632701363153</c:v>
                </c:pt>
                <c:pt idx="29">
                  <c:v>0.18950295127285491</c:v>
                </c:pt>
                <c:pt idx="30">
                  <c:v>0.19022498900675183</c:v>
                </c:pt>
                <c:pt idx="31">
                  <c:v>0.19102186171514896</c:v>
                </c:pt>
                <c:pt idx="32">
                  <c:v>0.19189309236643307</c:v>
                </c:pt>
                <c:pt idx="33">
                  <c:v>0.19283829832956306</c:v>
                </c:pt>
                <c:pt idx="34">
                  <c:v>0.19385718509578678</c:v>
                </c:pt>
                <c:pt idx="35">
                  <c:v>0.19494954067883954</c:v>
                </c:pt>
                <c:pt idx="36">
                  <c:v>0.19611523060042999</c:v>
                </c:pt>
                <c:pt idx="37">
                  <c:v>0.19735419338251017</c:v>
                </c:pt>
                <c:pt idx="38">
                  <c:v>0.19866643647987234</c:v>
                </c:pt>
                <c:pt idx="39">
                  <c:v>0.20005203259653045</c:v>
                </c:pt>
                <c:pt idx="40">
                  <c:v>0.2015111163375635</c:v>
                </c:pt>
                <c:pt idx="41">
                  <c:v>0.20304388115493183</c:v>
                </c:pt>
                <c:pt idx="42">
                  <c:v>0.20465057655148894</c:v>
                </c:pt>
                <c:pt idx="43">
                  <c:v>0.20633150551221027</c:v>
                </c:pt>
                <c:pt idx="44">
                  <c:v>0.20808702213569752</c:v>
                </c:pt>
                <c:pt idx="45">
                  <c:v>0.20991752944244421</c:v>
                </c:pt>
                <c:pt idx="46">
                  <c:v>0.21182347733924906</c:v>
                </c:pt>
                <c:pt idx="47">
                  <c:v>0.21380536072163972</c:v>
                </c:pt>
                <c:pt idx="48">
                  <c:v>0.21586371769829438</c:v>
                </c:pt>
                <c:pt idx="49">
                  <c:v>0.21799912792325815</c:v>
                </c:pt>
                <c:pt idx="50">
                  <c:v>0.22021221102332184</c:v>
                </c:pt>
                <c:pt idx="51">
                  <c:v>0.22250362510928232</c:v>
                </c:pt>
                <c:pt idx="52">
                  <c:v>0.22487406536096777</c:v>
                </c:pt>
                <c:pt idx="53">
                  <c:v>0.22732426267693384</c:v>
                </c:pt>
                <c:pt idx="54">
                  <c:v>0.22985498238061638</c:v>
                </c:pt>
                <c:pt idx="55">
                  <c:v>0.23246702297549804</c:v>
                </c:pt>
                <c:pt idx="56">
                  <c:v>0.23516121494252393</c:v>
                </c:pt>
                <c:pt idx="57">
                  <c:v>0.23793841957358955</c:v>
                </c:pt>
                <c:pt idx="58">
                  <c:v>0.2407995278354437</c:v>
                </c:pt>
                <c:pt idx="59">
                  <c:v>0.24374545925881003</c:v>
                </c:pt>
                <c:pt idx="60">
                  <c:v>0.24677716084793005</c:v>
                </c:pt>
                <c:pt idx="61">
                  <c:v>0.24989560600608887</c:v>
                </c:pt>
                <c:pt idx="62">
                  <c:v>0.25310179347299927</c:v>
                </c:pt>
                <c:pt idx="63">
                  <c:v>0.2563967462702002</c:v>
                </c:pt>
                <c:pt idx="64">
                  <c:v>0.25978151065087218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7-4651-B010-05B1B98E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37024"/>
        <c:axId val="2042338112"/>
      </c:scatterChart>
      <c:valAx>
        <c:axId val="20423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8112"/>
        <c:crosses val="autoZero"/>
        <c:crossBetween val="midCat"/>
      </c:valAx>
      <c:valAx>
        <c:axId val="2042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9859740667017E-2"/>
          <c:y val="1.4645716067852341E-2"/>
          <c:w val="0.835685132777787"/>
          <c:h val="0.90332742185292836"/>
        </c:manualLayout>
      </c:layout>
      <c:scatterChart>
        <c:scatterStyle val="smoothMarker"/>
        <c:varyColors val="0"/>
        <c:ser>
          <c:idx val="8"/>
          <c:order val="0"/>
          <c:tx>
            <c:v>H0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'ENecesario(W3)'!$J$7:$J$71</c:f>
              <c:numCache>
                <c:formatCode>General</c:formatCode>
                <c:ptCount val="65"/>
                <c:pt idx="0">
                  <c:v>1468327.8912305287</c:v>
                </c:pt>
                <c:pt idx="1">
                  <c:v>940798.97543441562</c:v>
                </c:pt>
                <c:pt idx="2">
                  <c:v>654682.7101056797</c:v>
                </c:pt>
                <c:pt idx="3">
                  <c:v>482624.83825362707</c:v>
                </c:pt>
                <c:pt idx="4">
                  <c:v>371428.00958355604</c:v>
                </c:pt>
                <c:pt idx="5">
                  <c:v>295678.29988755292</c:v>
                </c:pt>
                <c:pt idx="6">
                  <c:v>241990.42632098496</c:v>
                </c:pt>
                <c:pt idx="7">
                  <c:v>202770.31881583645</c:v>
                </c:pt>
                <c:pt idx="8">
                  <c:v>173449.26027224865</c:v>
                </c:pt>
                <c:pt idx="9">
                  <c:v>151144.90596881977</c:v>
                </c:pt>
                <c:pt idx="10">
                  <c:v>133965.94718967364</c:v>
                </c:pt>
                <c:pt idx="11">
                  <c:v>120629.65199613459</c:v>
                </c:pt>
                <c:pt idx="12">
                  <c:v>110241.14949958451</c:v>
                </c:pt>
                <c:pt idx="13">
                  <c:v>102160.75707777443</c:v>
                </c:pt>
                <c:pt idx="14">
                  <c:v>95921.386150002843</c:v>
                </c:pt>
                <c:pt idx="15">
                  <c:v>91175.533187527515</c:v>
                </c:pt>
                <c:pt idx="16">
                  <c:v>87660.336429770468</c:v>
                </c:pt>
                <c:pt idx="17">
                  <c:v>85173.989734887436</c:v>
                </c:pt>
                <c:pt idx="18">
                  <c:v>83559.482821883415</c:v>
                </c:pt>
                <c:pt idx="19">
                  <c:v>82693.177932513674</c:v>
                </c:pt>
                <c:pt idx="20">
                  <c:v>82476.646051377029</c:v>
                </c:pt>
                <c:pt idx="21">
                  <c:v>82830.741486984916</c:v>
                </c:pt>
                <c:pt idx="22">
                  <c:v>83691.239937900871</c:v>
                </c:pt>
                <c:pt idx="23">
                  <c:v>85005.585743036834</c:v>
                </c:pt>
                <c:pt idx="24">
                  <c:v>86730.43730248588</c:v>
                </c:pt>
                <c:pt idx="25">
                  <c:v>88829.794432795985</c:v>
                </c:pt>
                <c:pt idx="26">
                  <c:v>91273.555160463133</c:v>
                </c:pt>
                <c:pt idx="27">
                  <c:v>94036.392984819002</c:v>
                </c:pt>
                <c:pt idx="28">
                  <c:v>97096.875789678117</c:v>
                </c:pt>
                <c:pt idx="29">
                  <c:v>100436.76874054312</c:v>
                </c:pt>
                <c:pt idx="30">
                  <c:v>104040.47853456861</c:v>
                </c:pt>
                <c:pt idx="31">
                  <c:v>107894.60717057735</c:v>
                </c:pt>
                <c:pt idx="32">
                  <c:v>111987.59124995918</c:v>
                </c:pt>
                <c:pt idx="33">
                  <c:v>116309.40857278957</c:v>
                </c:pt>
                <c:pt idx="34">
                  <c:v>120851.33805366429</c:v>
                </c:pt>
                <c:pt idx="35">
                  <c:v>125605.76216411107</c:v>
                </c:pt>
                <c:pt idx="36">
                  <c:v>130566.00350553948</c:v>
                </c:pt>
                <c:pt idx="37">
                  <c:v>135726.1889365268</c:v>
                </c:pt>
                <c:pt idx="38">
                  <c:v>141081.13607012367</c:v>
                </c:pt>
                <c:pt idx="39">
                  <c:v>146626.25802895249</c:v>
                </c:pt>
                <c:pt idx="40">
                  <c:v>152357.48317716806</c:v>
                </c:pt>
                <c:pt idx="41">
                  <c:v>158271.187197033</c:v>
                </c:pt>
                <c:pt idx="42">
                  <c:v>164364.13538711154</c:v>
                </c:pt>
                <c:pt idx="43">
                  <c:v>170633.4334611714</c:v>
                </c:pt>
                <c:pt idx="44">
                  <c:v>177076.48544610373</c:v>
                </c:pt>
                <c:pt idx="45">
                  <c:v>183690.95753192698</c:v>
                </c:pt>
                <c:pt idx="46">
                  <c:v>190474.74693127256</c:v>
                </c:pt>
                <c:pt idx="47">
                  <c:v>197425.95497041932</c:v>
                </c:pt>
                <c:pt idx="48">
                  <c:v>204542.86376725894</c:v>
                </c:pt>
                <c:pt idx="49">
                  <c:v>211823.91595998136</c:v>
                </c:pt>
                <c:pt idx="50">
                  <c:v>219267.69703879076</c:v>
                </c:pt>
                <c:pt idx="51">
                  <c:v>227029.61516472284</c:v>
                </c:pt>
                <c:pt idx="52">
                  <c:v>239915.92445646875</c:v>
                </c:pt>
                <c:pt idx="53">
                  <c:v>265692.51572735322</c:v>
                </c:pt>
                <c:pt idx="54">
                  <c:v>310994.62123957288</c:v>
                </c:pt>
                <c:pt idx="55">
                  <c:v>382340.61054381012</c:v>
                </c:pt>
                <c:pt idx="56">
                  <c:v>486407.3059669293</c:v>
                </c:pt>
                <c:pt idx="57">
                  <c:v>630142.55340262491</c:v>
                </c:pt>
                <c:pt idx="58">
                  <c:v>820826.26460013574</c:v>
                </c:pt>
                <c:pt idx="59">
                  <c:v>1066109.1677547786</c:v>
                </c:pt>
                <c:pt idx="60">
                  <c:v>1374040.2022337744</c:v>
                </c:pt>
                <c:pt idx="61">
                  <c:v>1753087.4832795882</c:v>
                </c:pt>
                <c:pt idx="62">
                  <c:v>2212155.3395441738</c:v>
                </c:pt>
                <c:pt idx="63">
                  <c:v>2760598.8093071138</c:v>
                </c:pt>
                <c:pt idx="64">
                  <c:v>3408236.414274388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21B-458C-BA0A-C55F0C2EDAC6}"/>
            </c:ext>
          </c:extLst>
        </c:ser>
        <c:ser>
          <c:idx val="9"/>
          <c:order val="1"/>
          <c:tx>
            <c:v>H1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'ENecesario(W3)'!$R$7:$R$71</c:f>
              <c:numCache>
                <c:formatCode>General</c:formatCode>
                <c:ptCount val="65"/>
                <c:pt idx="0">
                  <c:v>1699381.0389884643</c:v>
                </c:pt>
                <c:pt idx="1">
                  <c:v>1088527.443415941</c:v>
                </c:pt>
                <c:pt idx="2">
                  <c:v>757088.12814169843</c:v>
                </c:pt>
                <c:pt idx="3">
                  <c:v>557639.09901463706</c:v>
                </c:pt>
                <c:pt idx="4">
                  <c:v>428599.6437443691</c:v>
                </c:pt>
                <c:pt idx="5">
                  <c:v>340550.86183777906</c:v>
                </c:pt>
                <c:pt idx="6">
                  <c:v>277998.08584969316</c:v>
                </c:pt>
                <c:pt idx="7">
                  <c:v>232150.49741451949</c:v>
                </c:pt>
                <c:pt idx="8">
                  <c:v>197719.39602924406</c:v>
                </c:pt>
                <c:pt idx="9">
                  <c:v>171368.20872496782</c:v>
                </c:pt>
                <c:pt idx="10">
                  <c:v>150907.57574524681</c:v>
                </c:pt>
                <c:pt idx="11">
                  <c:v>134852.61962863454</c:v>
                </c:pt>
                <c:pt idx="12">
                  <c:v>122167.4469251046</c:v>
                </c:pt>
                <c:pt idx="13">
                  <c:v>112111.5675294235</c:v>
                </c:pt>
                <c:pt idx="14">
                  <c:v>104144.28444553848</c:v>
                </c:pt>
                <c:pt idx="15">
                  <c:v>97863.331118727947</c:v>
                </c:pt>
                <c:pt idx="16">
                  <c:v>92964.421445255037</c:v>
                </c:pt>
                <c:pt idx="17">
                  <c:v>89213.946685389441</c:v>
                </c:pt>
                <c:pt idx="18">
                  <c:v>86430.15333285628</c:v>
                </c:pt>
                <c:pt idx="19">
                  <c:v>84469.91957469839</c:v>
                </c:pt>
                <c:pt idx="20">
                  <c:v>83219.304982588728</c:v>
                </c:pt>
                <c:pt idx="21">
                  <c:v>82586.691308069669</c:v>
                </c:pt>
                <c:pt idx="22">
                  <c:v>82497.733152227607</c:v>
                </c:pt>
                <c:pt idx="23">
                  <c:v>82891.592615679067</c:v>
                </c:pt>
                <c:pt idx="24">
                  <c:v>83718.097902661932</c:v>
                </c:pt>
                <c:pt idx="25">
                  <c:v>84935.57556652365</c:v>
                </c:pt>
                <c:pt idx="26">
                  <c:v>86509.17986853006</c:v>
                </c:pt>
                <c:pt idx="27">
                  <c:v>88409.593108789282</c:v>
                </c:pt>
                <c:pt idx="28">
                  <c:v>90612.005687325422</c:v>
                </c:pt>
                <c:pt idx="29">
                  <c:v>93095.309144964762</c:v>
                </c:pt>
                <c:pt idx="30">
                  <c:v>95841.452832739596</c:v>
                </c:pt>
                <c:pt idx="31">
                  <c:v>98834.92736059225</c:v>
                </c:pt>
                <c:pt idx="32">
                  <c:v>102062.34705575947</c:v>
                </c:pt>
                <c:pt idx="33">
                  <c:v>105512.11032142022</c:v>
                </c:pt>
                <c:pt idx="34">
                  <c:v>109174.12171770459</c:v>
                </c:pt>
                <c:pt idx="35">
                  <c:v>113039.5632710365</c:v>
                </c:pt>
                <c:pt idx="36">
                  <c:v>117100.70529264075</c:v>
                </c:pt>
                <c:pt idx="37">
                  <c:v>121350.74909366932</c:v>
                </c:pt>
                <c:pt idx="38">
                  <c:v>125783.69559563536</c:v>
                </c:pt>
                <c:pt idx="39">
                  <c:v>130394.23507588293</c:v>
                </c:pt>
                <c:pt idx="40">
                  <c:v>135177.6542501197</c:v>
                </c:pt>
                <c:pt idx="41">
                  <c:v>140129.75764495091</c:v>
                </c:pt>
                <c:pt idx="42">
                  <c:v>145246.80080285453</c:v>
                </c:pt>
                <c:pt idx="43">
                  <c:v>150525.43332749006</c:v>
                </c:pt>
                <c:pt idx="44">
                  <c:v>155962.65014675801</c:v>
                </c:pt>
                <c:pt idx="45">
                  <c:v>161555.74966593209</c:v>
                </c:pt>
                <c:pt idx="46">
                  <c:v>167302.2977197158</c:v>
                </c:pt>
                <c:pt idx="47">
                  <c:v>173200.09642269739</c:v>
                </c:pt>
                <c:pt idx="48">
                  <c:v>179247.15717199951</c:v>
                </c:pt>
                <c:pt idx="49">
                  <c:v>185441.67718141153</c:v>
                </c:pt>
                <c:pt idx="50">
                  <c:v>191861.11923055144</c:v>
                </c:pt>
                <c:pt idx="51">
                  <c:v>202292.11404054848</c:v>
                </c:pt>
                <c:pt idx="52">
                  <c:v>223590.60800560098</c:v>
                </c:pt>
                <c:pt idx="53">
                  <c:v>261604.90535436355</c:v>
                </c:pt>
                <c:pt idx="54">
                  <c:v>322063.22722824226</c:v>
                </c:pt>
                <c:pt idx="55">
                  <c:v>410833.30012854486</c:v>
                </c:pt>
                <c:pt idx="56">
                  <c:v>534025.44886173098</c:v>
                </c:pt>
                <c:pt idx="57">
                  <c:v>698047.83898917516</c:v>
                </c:pt>
                <c:pt idx="58">
                  <c:v>909641.33525400597</c:v>
                </c:pt>
                <c:pt idx="59">
                  <c:v>1175904.0737320296</c:v>
                </c:pt>
                <c:pt idx="60">
                  <c:v>1504310.2476918558</c:v>
                </c:pt>
                <c:pt idx="61">
                  <c:v>1902725.3765115754</c:v>
                </c:pt>
                <c:pt idx="62">
                  <c:v>2379419.3070914787</c:v>
                </c:pt>
                <c:pt idx="63">
                  <c:v>2943077.6827403768</c:v>
                </c:pt>
                <c:pt idx="64">
                  <c:v>3602812.334971074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21B-458C-BA0A-C55F0C2EDAC6}"/>
            </c:ext>
          </c:extLst>
        </c:ser>
        <c:ser>
          <c:idx val="10"/>
          <c:order val="2"/>
          <c:tx>
            <c:v>H2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'ENecesario(W3)'!$Z$7:$Z$71</c:f>
              <c:numCache>
                <c:formatCode>General</c:formatCode>
                <c:ptCount val="65"/>
                <c:pt idx="0">
                  <c:v>1977160.4552954282</c:v>
                </c:pt>
                <c:pt idx="1">
                  <c:v>1266176.3902248617</c:v>
                </c:pt>
                <c:pt idx="2">
                  <c:v>880291.44066506217</c:v>
                </c:pt>
                <c:pt idx="3">
                  <c:v>647957.38223180792</c:v>
                </c:pt>
                <c:pt idx="4">
                  <c:v>497516.53185551416</c:v>
                </c:pt>
                <c:pt idx="5">
                  <c:v>394735.92649654503</c:v>
                </c:pt>
                <c:pt idx="6">
                  <c:v>321585.37573067966</c:v>
                </c:pt>
                <c:pt idx="7">
                  <c:v>267835.54551914579</c:v>
                </c:pt>
                <c:pt idx="8">
                  <c:v>227332.30073749408</c:v>
                </c:pt>
                <c:pt idx="9">
                  <c:v>196193.07687077578</c:v>
                </c:pt>
                <c:pt idx="10">
                  <c:v>171870.25077990192</c:v>
                </c:pt>
                <c:pt idx="11">
                  <c:v>152635.96199408508</c:v>
                </c:pt>
                <c:pt idx="12">
                  <c:v>137284.80509050703</c:v>
                </c:pt>
                <c:pt idx="13">
                  <c:v>124955.11732926997</c:v>
                </c:pt>
                <c:pt idx="14">
                  <c:v>115017.72290940046</c:v>
                </c:pt>
                <c:pt idx="15">
                  <c:v>107004.52901066921</c:v>
                </c:pt>
                <c:pt idx="16">
                  <c:v>100561.45663052694</c:v>
                </c:pt>
                <c:pt idx="17">
                  <c:v>95416.669662971137</c:v>
                </c:pt>
                <c:pt idx="18">
                  <c:v>91358.672744193449</c:v>
                </c:pt>
                <c:pt idx="19">
                  <c:v>88220.92383315906</c:v>
                </c:pt>
                <c:pt idx="20">
                  <c:v>85870.837469287639</c:v>
                </c:pt>
                <c:pt idx="21">
                  <c:v>84201.80313822857</c:v>
                </c:pt>
                <c:pt idx="22">
                  <c:v>83127.30967707232</c:v>
                </c:pt>
                <c:pt idx="23">
                  <c:v>82576.563768390508</c:v>
                </c:pt>
                <c:pt idx="24">
                  <c:v>82491.183582775266</c:v>
                </c:pt>
                <c:pt idx="25">
                  <c:v>82822.67629639298</c:v>
                </c:pt>
                <c:pt idx="26">
                  <c:v>83530.494068699583</c:v>
                </c:pt>
                <c:pt idx="27">
                  <c:v>84580.52169756376</c:v>
                </c:pt>
                <c:pt idx="28">
                  <c:v>85943.889779140751</c:v>
                </c:pt>
                <c:pt idx="29">
                  <c:v>87596.035699240223</c:v>
                </c:pt>
                <c:pt idx="30">
                  <c:v>89515.955029124307</c:v>
                </c:pt>
                <c:pt idx="31">
                  <c:v>91685.600446571159</c:v>
                </c:pt>
                <c:pt idx="32">
                  <c:v>94089.395868406893</c:v>
                </c:pt>
                <c:pt idx="33">
                  <c:v>96713.841230777398</c:v>
                </c:pt>
                <c:pt idx="34">
                  <c:v>99547.189091931155</c:v>
                </c:pt>
                <c:pt idx="35">
                  <c:v>102579.17851898308</c:v>
                </c:pt>
                <c:pt idx="36">
                  <c:v>105800.81494905984</c:v>
                </c:pt>
                <c:pt idx="37">
                  <c:v>109204.18716657718</c:v>
                </c:pt>
                <c:pt idx="38">
                  <c:v>112782.31441329228</c:v>
                </c:pt>
                <c:pt idx="39">
                  <c:v>116529.01809189576</c:v>
                </c:pt>
                <c:pt idx="40">
                  <c:v>120438.81364367637</c:v>
                </c:pt>
                <c:pt idx="41">
                  <c:v>124506.81905458026</c:v>
                </c:pt>
                <c:pt idx="42">
                  <c:v>128728.67712995343</c:v>
                </c:pt>
                <c:pt idx="43">
                  <c:v>133100.48921987458</c:v>
                </c:pt>
                <c:pt idx="44">
                  <c:v>137618.7585069784</c:v>
                </c:pt>
                <c:pt idx="45">
                  <c:v>142280.3413118321</c:v>
                </c:pt>
                <c:pt idx="46">
                  <c:v>147082.40514616357</c:v>
                </c:pt>
                <c:pt idx="47">
                  <c:v>152022.39246605357</c:v>
                </c:pt>
                <c:pt idx="48">
                  <c:v>157097.98925678158</c:v>
                </c:pt>
                <c:pt idx="49">
                  <c:v>162348.52317752436</c:v>
                </c:pt>
                <c:pt idx="50">
                  <c:v>170791.28624053838</c:v>
                </c:pt>
                <c:pt idx="51">
                  <c:v>188425.60347162982</c:v>
                </c:pt>
                <c:pt idx="52">
                  <c:v>220378.00629051746</c:v>
                </c:pt>
                <c:pt idx="53">
                  <c:v>271660.04231841885</c:v>
                </c:pt>
                <c:pt idx="54">
                  <c:v>347407.80933429801</c:v>
                </c:pt>
                <c:pt idx="55">
                  <c:v>452974.85834812268</c:v>
                </c:pt>
                <c:pt idx="56">
                  <c:v>593981.53657546022</c:v>
                </c:pt>
                <c:pt idx="57">
                  <c:v>776346.00148873148</c:v>
                </c:pt>
                <c:pt idx="58">
                  <c:v>1006306.0551703502</c:v>
                </c:pt>
                <c:pt idx="59">
                  <c:v>1290435.8417629183</c:v>
                </c:pt>
                <c:pt idx="60">
                  <c:v>1635659.4346174465</c:v>
                </c:pt>
                <c:pt idx="61">
                  <c:v>2049262.4238602356</c:v>
                </c:pt>
                <c:pt idx="62">
                  <c:v>2538902.1553915711</c:v>
                </c:pt>
                <c:pt idx="63">
                  <c:v>3112617.0235244464</c:v>
                </c:pt>
                <c:pt idx="64">
                  <c:v>3778835.0765881771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21B-458C-BA0A-C55F0C2EDAC6}"/>
            </c:ext>
          </c:extLst>
        </c:ser>
        <c:ser>
          <c:idx val="11"/>
          <c:order val="3"/>
          <c:tx>
            <c:v>H3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'ENecesario(W3)'!$AH$7:$AH$71</c:f>
              <c:numCache>
                <c:formatCode>General</c:formatCode>
                <c:ptCount val="65"/>
                <c:pt idx="0">
                  <c:v>2313340.2993383068</c:v>
                </c:pt>
                <c:pt idx="1">
                  <c:v>1481216.0686897929</c:v>
                </c:pt>
                <c:pt idx="2">
                  <c:v>1029478.7964648103</c:v>
                </c:pt>
                <c:pt idx="3">
                  <c:v>757388.07242369256</c:v>
                </c:pt>
                <c:pt idx="4">
                  <c:v>581092.29887228389</c:v>
                </c:pt>
                <c:pt idx="5">
                  <c:v>460533.12446965394</c:v>
                </c:pt>
                <c:pt idx="6">
                  <c:v>374612.1797313657</c:v>
                </c:pt>
                <c:pt idx="7">
                  <c:v>311359.41530953068</c:v>
                </c:pt>
                <c:pt idx="8">
                  <c:v>263573.45320104377</c:v>
                </c:pt>
                <c:pt idx="9">
                  <c:v>226711.03685917918</c:v>
                </c:pt>
                <c:pt idx="10">
                  <c:v>197791.01672140145</c:v>
                </c:pt>
                <c:pt idx="11">
                  <c:v>174791.50406815176</c:v>
                </c:pt>
                <c:pt idx="12">
                  <c:v>156301.97086889978</c:v>
                </c:pt>
                <c:pt idx="13">
                  <c:v>141314.12611675111</c:v>
                </c:pt>
                <c:pt idx="14">
                  <c:v>129091.72780830618</c:v>
                </c:pt>
                <c:pt idx="15">
                  <c:v>119087.02824696033</c:v>
                </c:pt>
                <c:pt idx="16">
                  <c:v>110885.6951685114</c:v>
                </c:pt>
                <c:pt idx="17">
                  <c:v>104169.63439487736</c:v>
                </c:pt>
                <c:pt idx="18">
                  <c:v>98691.360612543343</c:v>
                </c:pt>
                <c:pt idx="19">
                  <c:v>94255.991491718363</c:v>
                </c:pt>
                <c:pt idx="20">
                  <c:v>90708.379639625709</c:v>
                </c:pt>
                <c:pt idx="21">
                  <c:v>87923.772739746535</c:v>
                </c:pt>
                <c:pt idx="22">
                  <c:v>85800.938113077063</c:v>
                </c:pt>
                <c:pt idx="23">
                  <c:v>84257.035615781249</c:v>
                </c:pt>
                <c:pt idx="24">
                  <c:v>83223.748642263527</c:v>
                </c:pt>
                <c:pt idx="25">
                  <c:v>82644.332394465018</c:v>
                </c:pt>
                <c:pt idx="26">
                  <c:v>82471.339047295391</c:v>
                </c:pt>
                <c:pt idx="27">
                  <c:v>82664.848049575245</c:v>
                </c:pt>
                <c:pt idx="28">
                  <c:v>83191.077320540091</c:v>
                </c:pt>
                <c:pt idx="29">
                  <c:v>84021.284451069441</c:v>
                </c:pt>
                <c:pt idx="30">
                  <c:v>85130.89071027402</c:v>
                </c:pt>
                <c:pt idx="31">
                  <c:v>86498.777681571199</c:v>
                </c:pt>
                <c:pt idx="32">
                  <c:v>88106.718715647279</c:v>
                </c:pt>
                <c:pt idx="33">
                  <c:v>89938.916456592167</c:v>
                </c:pt>
                <c:pt idx="34">
                  <c:v>91981.624412508711</c:v>
                </c:pt>
                <c:pt idx="35">
                  <c:v>94222.835558059349</c:v>
                </c:pt>
                <c:pt idx="36">
                  <c:v>96652.024734807768</c:v>
                </c:pt>
                <c:pt idx="37">
                  <c:v>99259.934483706602</c:v>
                </c:pt>
                <c:pt idx="38">
                  <c:v>102038.39613802395</c:v>
                </c:pt>
                <c:pt idx="39">
                  <c:v>104980.17969486679</c:v>
                </c:pt>
                <c:pt idx="40">
                  <c:v>108078.86729377853</c:v>
                </c:pt>
                <c:pt idx="41">
                  <c:v>111328.74615336784</c:v>
                </c:pt>
                <c:pt idx="42">
                  <c:v>114724.71761962379</c:v>
                </c:pt>
                <c:pt idx="43">
                  <c:v>118262.21961335606</c:v>
                </c:pt>
                <c:pt idx="44">
                  <c:v>121937.16026736551</c:v>
                </c:pt>
                <c:pt idx="45">
                  <c:v>125745.86094550608</c:v>
                </c:pt>
                <c:pt idx="46">
                  <c:v>129685.00715787402</c:v>
                </c:pt>
                <c:pt idx="47">
                  <c:v>133751.6061459175</c:v>
                </c:pt>
                <c:pt idx="48">
                  <c:v>137967.02466423385</c:v>
                </c:pt>
                <c:pt idx="49">
                  <c:v>144783.41328986859</c:v>
                </c:pt>
                <c:pt idx="50">
                  <c:v>159409.41111084641</c:v>
                </c:pt>
                <c:pt idx="51">
                  <c:v>186311.223110894</c:v>
                </c:pt>
                <c:pt idx="52">
                  <c:v>229852.44098652556</c:v>
                </c:pt>
                <c:pt idx="53">
                  <c:v>294509.59752993821</c:v>
                </c:pt>
                <c:pt idx="54">
                  <c:v>384954.41105108726</c:v>
                </c:pt>
                <c:pt idx="55">
                  <c:v>506097.23622948863</c:v>
                </c:pt>
                <c:pt idx="56">
                  <c:v>663114.33322444966</c:v>
                </c:pt>
                <c:pt idx="57">
                  <c:v>861467.07582329109</c:v>
                </c:pt>
                <c:pt idx="58">
                  <c:v>1106916.6655006951</c:v>
                </c:pt>
                <c:pt idx="59">
                  <c:v>1405536.1317569045</c:v>
                </c:pt>
                <c:pt idx="60">
                  <c:v>1763720.5912808413</c:v>
                </c:pt>
                <c:pt idx="61">
                  <c:v>2188196.3344471105</c:v>
                </c:pt>
                <c:pt idx="62">
                  <c:v>2686029.0896065687</c:v>
                </c:pt>
                <c:pt idx="63">
                  <c:v>3264631.6907092081</c:v>
                </c:pt>
                <c:pt idx="64">
                  <c:v>3931771.2986849416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21B-458C-BA0A-C55F0C2EDAC6}"/>
            </c:ext>
          </c:extLst>
        </c:ser>
        <c:ser>
          <c:idx val="12"/>
          <c:order val="4"/>
          <c:tx>
            <c:v>H4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'ENecesario(W3)'!$AP$7:$AP$71</c:f>
              <c:numCache>
                <c:formatCode>General</c:formatCode>
                <c:ptCount val="65"/>
                <c:pt idx="0">
                  <c:v>2723118.921329584</c:v>
                </c:pt>
                <c:pt idx="1">
                  <c:v>1743372.2677115698</c:v>
                </c:pt>
                <c:pt idx="2">
                  <c:v>1211402.7567830773</c:v>
                </c:pt>
                <c:pt idx="3">
                  <c:v>890890.46997021546</c:v>
                </c:pt>
                <c:pt idx="4">
                  <c:v>683121.83626994083</c:v>
                </c:pt>
                <c:pt idx="5">
                  <c:v>540938.50666926347</c:v>
                </c:pt>
                <c:pt idx="6">
                  <c:v>439502.60745530616</c:v>
                </c:pt>
                <c:pt idx="7">
                  <c:v>364722.50115536951</c:v>
                </c:pt>
                <c:pt idx="8">
                  <c:v>308120.42755524517</c:v>
                </c:pt>
                <c:pt idx="9">
                  <c:v>264347.87702550361</c:v>
                </c:pt>
                <c:pt idx="10">
                  <c:v>229895.31692628484</c:v>
                </c:pt>
                <c:pt idx="11">
                  <c:v>202382.49618108117</c:v>
                </c:pt>
                <c:pt idx="12">
                  <c:v>180148.88281766442</c:v>
                </c:pt>
                <c:pt idx="13">
                  <c:v>162007.47493460606</c:v>
                </c:pt>
                <c:pt idx="14">
                  <c:v>147091.53797613646</c:v>
                </c:pt>
                <c:pt idx="15">
                  <c:v>134756.24068528006</c:v>
                </c:pt>
                <c:pt idx="16">
                  <c:v>124513.81397348159</c:v>
                </c:pt>
                <c:pt idx="17">
                  <c:v>115989.78420997885</c:v>
                </c:pt>
                <c:pt idx="18">
                  <c:v>108892.80144152498</c:v>
                </c:pt>
                <c:pt idx="19">
                  <c:v>102993.44212428688</c:v>
                </c:pt>
                <c:pt idx="20">
                  <c:v>98109.060326714549</c:v>
                </c:pt>
                <c:pt idx="21">
                  <c:v>94092.792458928787</c:v>
                </c:pt>
                <c:pt idx="22">
                  <c:v>90825.463221692917</c:v>
                </c:pt>
                <c:pt idx="23">
                  <c:v>88209.549769344725</c:v>
                </c:pt>
                <c:pt idx="24">
                  <c:v>86164.626966495096</c:v>
                </c:pt>
                <c:pt idx="25">
                  <c:v>84623.892488486279</c:v>
                </c:pt>
                <c:pt idx="26">
                  <c:v>83531.488791994139</c:v>
                </c:pt>
                <c:pt idx="27">
                  <c:v>82840.419752058719</c:v>
                </c:pt>
                <c:pt idx="28">
                  <c:v>82510.915705133011</c:v>
                </c:pt>
                <c:pt idx="29">
                  <c:v>82509.139897696106</c:v>
                </c:pt>
                <c:pt idx="30">
                  <c:v>82806.157230554585</c:v>
                </c:pt>
                <c:pt idx="31">
                  <c:v>83377.106229721961</c:v>
                </c:pt>
                <c:pt idx="32">
                  <c:v>84200.529729316448</c:v>
                </c:pt>
                <c:pt idx="33">
                  <c:v>85257.830428187255</c:v>
                </c:pt>
                <c:pt idx="34">
                  <c:v>86532.825387174715</c:v>
                </c:pt>
                <c:pt idx="35">
                  <c:v>88011.379439140757</c:v>
                </c:pt>
                <c:pt idx="36">
                  <c:v>89681.101931990561</c:v>
                </c:pt>
                <c:pt idx="37">
                  <c:v>91531.094601813806</c:v>
                </c:pt>
                <c:pt idx="38">
                  <c:v>93551.740956073452</c:v>
                </c:pt>
                <c:pt idx="39">
                  <c:v>95734.529536150265</c:v>
                </c:pt>
                <c:pt idx="40">
                  <c:v>98071.904971111653</c:v>
                </c:pt>
                <c:pt idx="41">
                  <c:v>100557.14193828033</c:v>
                </c:pt>
                <c:pt idx="42">
                  <c:v>103184.23809114688</c:v>
                </c:pt>
                <c:pt idx="43">
                  <c:v>105947.82276128691</c:v>
                </c:pt>
                <c:pt idx="44">
                  <c:v>108843.07883329169</c:v>
                </c:pt>
                <c:pt idx="45">
                  <c:v>111865.67566444972</c:v>
                </c:pt>
                <c:pt idx="46">
                  <c:v>115011.7113000762</c:v>
                </c:pt>
                <c:pt idx="47">
                  <c:v>118294.55562467538</c:v>
                </c:pt>
                <c:pt idx="48">
                  <c:v>123761.1497876385</c:v>
                </c:pt>
                <c:pt idx="49">
                  <c:v>135901.89141181658</c:v>
                </c:pt>
                <c:pt idx="50">
                  <c:v>158581.26556473071</c:v>
                </c:pt>
                <c:pt idx="51">
                  <c:v>195579.19859544456</c:v>
                </c:pt>
                <c:pt idx="52">
                  <c:v>250779.60177252858</c:v>
                </c:pt>
                <c:pt idx="53">
                  <c:v>328241.78255112196</c:v>
                </c:pt>
                <c:pt idx="54">
                  <c:v>432238.12516800466</c:v>
                </c:pt>
                <c:pt idx="55">
                  <c:v>567277.7659880016</c:v>
                </c:pt>
                <c:pt idx="56">
                  <c:v>738123.3126269565</c:v>
                </c:pt>
                <c:pt idx="57">
                  <c:v>949803.69294852088</c:v>
                </c:pt>
                <c:pt idx="58">
                  <c:v>1207624.6705912077</c:v>
                </c:pt>
                <c:pt idx="59">
                  <c:v>1517177.864806015</c:v>
                </c:pt>
                <c:pt idx="60">
                  <c:v>1884348.7635379974</c:v>
                </c:pt>
                <c:pt idx="61">
                  <c:v>2315324.0307380375</c:v>
                </c:pt>
                <c:pt idx="62">
                  <c:v>2816598.3013735856</c:v>
                </c:pt>
                <c:pt idx="63">
                  <c:v>3394980.5930426819</c:v>
                </c:pt>
                <c:pt idx="64">
                  <c:v>4057600.4227342764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21B-458C-BA0A-C55F0C2EDAC6}"/>
            </c:ext>
          </c:extLst>
        </c:ser>
        <c:ser>
          <c:idx val="13"/>
          <c:order val="5"/>
          <c:tx>
            <c:v>H5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'ENecesario(W3)'!$AX$7:$AX$71</c:f>
              <c:numCache>
                <c:formatCode>General</c:formatCode>
                <c:ptCount val="65"/>
                <c:pt idx="0">
                  <c:v>3226481.0834257025</c:v>
                </c:pt>
                <c:pt idx="1">
                  <c:v>2065434.1331445326</c:v>
                </c:pt>
                <c:pt idx="2">
                  <c:v>1434943.2813986386</c:v>
                </c:pt>
                <c:pt idx="3">
                  <c:v>1054986.9433798364</c:v>
                </c:pt>
                <c:pt idx="4">
                  <c:v>808596.85521448904</c:v>
                </c:pt>
                <c:pt idx="5">
                  <c:v>639893.86923174153</c:v>
                </c:pt>
                <c:pt idx="6">
                  <c:v>519446.94634560746</c:v>
                </c:pt>
                <c:pt idx="7">
                  <c:v>430558.54078228888</c:v>
                </c:pt>
                <c:pt idx="8">
                  <c:v>363183.13515530253</c:v>
                </c:pt>
                <c:pt idx="9">
                  <c:v>310983.14204572595</c:v>
                </c:pt>
                <c:pt idx="10">
                  <c:v>269800.02544152871</c:v>
                </c:pt>
                <c:pt idx="11">
                  <c:v>236813.36426814634</c:v>
                </c:pt>
                <c:pt idx="12">
                  <c:v>210055.55123587642</c:v>
                </c:pt>
                <c:pt idx="13">
                  <c:v>188120.07708551516</c:v>
                </c:pt>
                <c:pt idx="14">
                  <c:v>169979.92562063204</c:v>
                </c:pt>
                <c:pt idx="15">
                  <c:v>154871.01960388769</c:v>
                </c:pt>
                <c:pt idx="16">
                  <c:v>142215.38882429895</c:v>
                </c:pt>
                <c:pt idx="17">
                  <c:v>131569.30978962823</c:v>
                </c:pt>
                <c:pt idx="18">
                  <c:v>122587.5544034277</c:v>
                </c:pt>
                <c:pt idx="19">
                  <c:v>114998.2727737198</c:v>
                </c:pt>
                <c:pt idx="20">
                  <c:v>108585.04301139744</c:v>
                </c:pt>
                <c:pt idx="21">
                  <c:v>103173.84264964204</c:v>
                </c:pt>
                <c:pt idx="22">
                  <c:v>98623.457793477559</c:v>
                </c:pt>
                <c:pt idx="23">
                  <c:v>94818.33110028923</c:v>
                </c:pt>
                <c:pt idx="24">
                  <c:v>91663.164746660448</c:v>
                </c:pt>
                <c:pt idx="25">
                  <c:v>89078.802930014717</c:v>
                </c:pt>
                <c:pt idx="26">
                  <c:v>86999.058602305013</c:v>
                </c:pt>
                <c:pt idx="27">
                  <c:v>85368.244839337523</c:v>
                </c:pt>
                <c:pt idx="28">
                  <c:v>84139.237537985638</c:v>
                </c:pt>
                <c:pt idx="29">
                  <c:v>83271.942653689504</c:v>
                </c:pt>
                <c:pt idx="30">
                  <c:v>82732.074238901361</c:v>
                </c:pt>
                <c:pt idx="31">
                  <c:v>82490.173289960527</c:v>
                </c:pt>
                <c:pt idx="32">
                  <c:v>82520.814655944545</c:v>
                </c:pt>
                <c:pt idx="33">
                  <c:v>82801.961913631836</c:v>
                </c:pt>
                <c:pt idx="34">
                  <c:v>83314.439479780383</c:v>
                </c:pt>
                <c:pt idx="35">
                  <c:v>84041.498229189863</c:v>
                </c:pt>
                <c:pt idx="36">
                  <c:v>84968.45615766308</c:v>
                </c:pt>
                <c:pt idx="37">
                  <c:v>86082.3996303686</c:v>
                </c:pt>
                <c:pt idx="38">
                  <c:v>87371.933816533186</c:v>
                </c:pt>
                <c:pt idx="39">
                  <c:v>88826.97326865849</c:v>
                </c:pt>
                <c:pt idx="40">
                  <c:v>90438.565432278789</c:v>
                </c:pt>
                <c:pt idx="41">
                  <c:v>92198.741298578476</c:v>
                </c:pt>
                <c:pt idx="42">
                  <c:v>94100.388531905512</c:v>
                </c:pt>
                <c:pt idx="43">
                  <c:v>96137.143288311665</c:v>
                </c:pt>
                <c:pt idx="44">
                  <c:v>98303.297643136568</c:v>
                </c:pt>
                <c:pt idx="45">
                  <c:v>100593.72010580331</c:v>
                </c:pt>
                <c:pt idx="46">
                  <c:v>103019.04259053757</c:v>
                </c:pt>
                <c:pt idx="47">
                  <c:v>107342.23517227285</c:v>
                </c:pt>
                <c:pt idx="48">
                  <c:v>117408.24953816076</c:v>
                </c:pt>
                <c:pt idx="49">
                  <c:v>136536.34934917183</c:v>
                </c:pt>
                <c:pt idx="50">
                  <c:v>167982.91522725826</c:v>
                </c:pt>
                <c:pt idx="51">
                  <c:v>215101.30504482458</c:v>
                </c:pt>
                <c:pt idx="52">
                  <c:v>281402.58042243129</c:v>
                </c:pt>
                <c:pt idx="53">
                  <c:v>370587.6534601656</c:v>
                </c:pt>
                <c:pt idx="54">
                  <c:v>486567.56832962768</c:v>
                </c:pt>
                <c:pt idx="55">
                  <c:v>633477.89153582859</c:v>
                </c:pt>
                <c:pt idx="56">
                  <c:v>815689.82552077284</c:v>
                </c:pt>
                <c:pt idx="57">
                  <c:v>1037819.3469741398</c:v>
                </c:pt>
                <c:pt idx="58">
                  <c:v>1304735.0789967102</c:v>
                </c:pt>
                <c:pt idx="59">
                  <c:v>1621565.3107604012</c:v>
                </c:pt>
                <c:pt idx="60">
                  <c:v>1993704.4191708171</c:v>
                </c:pt>
                <c:pt idx="61">
                  <c:v>2426818.8560446426</c:v>
                </c:pt>
                <c:pt idx="62">
                  <c:v>2926852.8096995372</c:v>
                </c:pt>
                <c:pt idx="63">
                  <c:v>3500033.61573043</c:v>
                </c:pt>
                <c:pt idx="64">
                  <c:v>4152876.9696899778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21B-458C-BA0A-C55F0C2EDAC6}"/>
            </c:ext>
          </c:extLst>
        </c:ser>
        <c:ser>
          <c:idx val="14"/>
          <c:order val="6"/>
          <c:tx>
            <c:v>H6</c:v>
          </c:tx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'ENecesario(W3)'!$BF$7:$BF$71</c:f>
              <c:numCache>
                <c:formatCode>General</c:formatCode>
                <c:ptCount val="65"/>
                <c:pt idx="0">
                  <c:v>3849989.7159983609</c:v>
                </c:pt>
                <c:pt idx="1">
                  <c:v>2464400.8912892956</c:v>
                </c:pt>
                <c:pt idx="2">
                  <c:v>1711904.0637280387</c:v>
                </c:pt>
                <c:pt idx="3">
                  <c:v>1258347.9910170354</c:v>
                </c:pt>
                <c:pt idx="4">
                  <c:v>964153.82351318328</c:v>
                </c:pt>
                <c:pt idx="5">
                  <c:v>762640.67793552077</c:v>
                </c:pt>
                <c:pt idx="6">
                  <c:v>618688.33924981323</c:v>
                </c:pt>
                <c:pt idx="7">
                  <c:v>512371.5375256837</c:v>
                </c:pt>
                <c:pt idx="8">
                  <c:v>431702.90358759428</c:v>
                </c:pt>
                <c:pt idx="9">
                  <c:v>369119.76075598429</c:v>
                </c:pt>
                <c:pt idx="10">
                  <c:v>319659.705952138</c:v>
                </c:pt>
                <c:pt idx="11">
                  <c:v>279957.11574915564</c:v>
                </c:pt>
                <c:pt idx="12">
                  <c:v>247664.03393266854</c:v>
                </c:pt>
                <c:pt idx="13">
                  <c:v>221102.06554398863</c:v>
                </c:pt>
                <c:pt idx="14">
                  <c:v>199045.66670894565</c:v>
                </c:pt>
                <c:pt idx="15">
                  <c:v>180583.06000779881</c:v>
                </c:pt>
                <c:pt idx="16">
                  <c:v>165024.55052241063</c:v>
                </c:pt>
                <c:pt idx="17">
                  <c:v>151840.64065612477</c:v>
                </c:pt>
                <c:pt idx="18">
                  <c:v>140619.36789046929</c:v>
                </c:pt>
                <c:pt idx="19">
                  <c:v>131036.33230754173</c:v>
                </c:pt>
                <c:pt idx="20">
                  <c:v>122833.27651923713</c:v>
                </c:pt>
                <c:pt idx="21">
                  <c:v>115802.53859294078</c:v>
                </c:pt>
                <c:pt idx="22">
                  <c:v>109775.60723882396</c:v>
                </c:pt>
                <c:pt idx="23">
                  <c:v>104614.58726706484</c:v>
                </c:pt>
                <c:pt idx="24">
                  <c:v>100205.75927955085</c:v>
                </c:pt>
                <c:pt idx="25">
                  <c:v>96454.666237250087</c:v>
                </c:pt>
                <c:pt idx="26">
                  <c:v>93282.326784692894</c:v>
                </c:pt>
                <c:pt idx="27">
                  <c:v>90622.289419892943</c:v>
                </c:pt>
                <c:pt idx="28">
                  <c:v>88418.320700657903</c:v>
                </c:pt>
                <c:pt idx="29">
                  <c:v>86622.576190968408</c:v>
                </c:pt>
                <c:pt idx="30">
                  <c:v>85194.142287773822</c:v>
                </c:pt>
                <c:pt idx="31">
                  <c:v>84097.865405764649</c:v>
                </c:pt>
                <c:pt idx="32">
                  <c:v>83303.405577498153</c:v>
                </c:pt>
                <c:pt idx="33">
                  <c:v>82784.466622269785</c:v>
                </c:pt>
                <c:pt idx="34">
                  <c:v>82518.166214895668</c:v>
                </c:pt>
                <c:pt idx="35">
                  <c:v>82484.517535442152</c:v>
                </c:pt>
                <c:pt idx="36">
                  <c:v>82666.000470431973</c:v>
                </c:pt>
                <c:pt idx="37">
                  <c:v>83047.205110931027</c:v>
                </c:pt>
                <c:pt idx="38">
                  <c:v>83614.533944943003</c:v>
                </c:pt>
                <c:pt idx="39">
                  <c:v>84355.951954478078</c:v>
                </c:pt>
                <c:pt idx="40">
                  <c:v>85260.77600881079</c:v>
                </c:pt>
                <c:pt idx="41">
                  <c:v>86319.496647456384</c:v>
                </c:pt>
                <c:pt idx="42">
                  <c:v>87523.626682559698</c:v>
                </c:pt>
                <c:pt idx="43">
                  <c:v>88865.572105385494</c:v>
                </c:pt>
                <c:pt idx="44">
                  <c:v>90338.521619163497</c:v>
                </c:pt>
                <c:pt idx="45">
                  <c:v>91954.060881476151</c:v>
                </c:pt>
                <c:pt idx="46">
                  <c:v>95280.232394851817</c:v>
                </c:pt>
                <c:pt idx="47">
                  <c:v>103584.92137728418</c:v>
                </c:pt>
                <c:pt idx="48">
                  <c:v>119696.98401591173</c:v>
                </c:pt>
                <c:pt idx="49">
                  <c:v>146405.37559810755</c:v>
                </c:pt>
                <c:pt idx="50">
                  <c:v>186590.29857411666</c:v>
                </c:pt>
                <c:pt idx="51">
                  <c:v>243273.71420090797</c:v>
                </c:pt>
                <c:pt idx="52">
                  <c:v>319646.29789694725</c:v>
                </c:pt>
                <c:pt idx="53">
                  <c:v>419084.56989946967</c:v>
                </c:pt>
                <c:pt idx="54">
                  <c:v>545163.13586053776</c:v>
                </c:pt>
                <c:pt idx="55">
                  <c:v>701664.20344123908</c:v>
                </c:pt>
                <c:pt idx="56">
                  <c:v>892585.45480158576</c:v>
                </c:pt>
                <c:pt idx="57">
                  <c:v>1122146.8640501006</c:v>
                </c:pt>
                <c:pt idx="58">
                  <c:v>1394796.8034687296</c:v>
                </c:pt>
                <c:pt idx="59">
                  <c:v>1715217.650136516</c:v>
                </c:pt>
                <c:pt idx="60">
                  <c:v>2088331.0289463485</c:v>
                </c:pt>
                <c:pt idx="61">
                  <c:v>2519302.7826010487</c:v>
                </c:pt>
                <c:pt idx="62">
                  <c:v>3013547.7307985825</c:v>
                </c:pt>
                <c:pt idx="63">
                  <c:v>3576734.2624740759</c:v>
                </c:pt>
                <c:pt idx="64">
                  <c:v>4214788.7927610027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21B-458C-BA0A-C55F0C2EDAC6}"/>
            </c:ext>
          </c:extLst>
        </c:ser>
        <c:ser>
          <c:idx val="15"/>
          <c:order val="7"/>
          <c:tx>
            <c:v>H7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'ENecesario(W3)'!$BN$7:$BN$70</c:f>
              <c:numCache>
                <c:formatCode>General</c:formatCode>
                <c:ptCount val="64"/>
                <c:pt idx="0">
                  <c:v>4629364.8959337799</c:v>
                </c:pt>
                <c:pt idx="1">
                  <c:v>2963132.3944680225</c:v>
                </c:pt>
                <c:pt idx="2">
                  <c:v>2058158.7423534733</c:v>
                </c:pt>
                <c:pt idx="3">
                  <c:v>1512634.354874921</c:v>
                </c:pt>
                <c:pt idx="4">
                  <c:v>1158718.7080094777</c:v>
                </c:pt>
                <c:pt idx="5">
                  <c:v>916229.49318530096</c:v>
                </c:pt>
                <c:pt idx="6">
                  <c:v>742935.41740768147</c:v>
                </c:pt>
                <c:pt idx="7">
                  <c:v>614876.77793538675</c:v>
                </c:pt>
                <c:pt idx="8">
                  <c:v>517639.02464694186</c:v>
                </c:pt>
                <c:pt idx="9">
                  <c:v>442128.20369361772</c:v>
                </c:pt>
                <c:pt idx="10">
                  <c:v>382377.13354845525</c:v>
                </c:pt>
                <c:pt idx="11">
                  <c:v>334338.72540767904</c:v>
                </c:pt>
                <c:pt idx="12">
                  <c:v>295189.61310650001</c:v>
                </c:pt>
                <c:pt idx="13">
                  <c:v>262911.56329435052</c:v>
                </c:pt>
                <c:pt idx="14">
                  <c:v>236030.88617811559</c:v>
                </c:pt>
                <c:pt idx="15">
                  <c:v>213451.18928635112</c:v>
                </c:pt>
                <c:pt idx="16">
                  <c:v>194343.12951462451</c:v>
                </c:pt>
                <c:pt idx="17">
                  <c:v>178069.99754545055</c:v>
                </c:pt>
                <c:pt idx="18">
                  <c:v>164136.41743071863</c:v>
                </c:pt>
                <c:pt idx="19">
                  <c:v>152152.30534072992</c:v>
                </c:pt>
                <c:pt idx="20">
                  <c:v>141807.11239602938</c:v>
                </c:pt>
                <c:pt idx="21">
                  <c:v>132851.12964946052</c:v>
                </c:pt>
                <c:pt idx="22">
                  <c:v>125081.72594837435</c:v>
                </c:pt>
                <c:pt idx="23">
                  <c:v>118333.0853329809</c:v>
                </c:pt>
                <c:pt idx="24">
                  <c:v>112468.46270601384</c:v>
                </c:pt>
                <c:pt idx="25">
                  <c:v>107374.27553710196</c:v>
                </c:pt>
                <c:pt idx="26">
                  <c:v>102955.55046800397</c:v>
                </c:pt>
                <c:pt idx="27">
                  <c:v>99132.381016154482</c:v>
                </c:pt>
                <c:pt idx="28">
                  <c:v>95837.14769314749</c:v>
                </c:pt>
                <c:pt idx="29">
                  <c:v>93012.318607628345</c:v>
                </c:pt>
                <c:pt idx="30">
                  <c:v>90608.696043802454</c:v>
                </c:pt>
                <c:pt idx="31">
                  <c:v>88584.008581646485</c:v>
                </c:pt>
                <c:pt idx="32">
                  <c:v>86901.773071690157</c:v>
                </c:pt>
                <c:pt idx="33">
                  <c:v>85530.368929865479</c:v>
                </c:pt>
                <c:pt idx="34">
                  <c:v>84442.280658949559</c:v>
                </c:pt>
                <c:pt idx="35">
                  <c:v>83613.474543663979</c:v>
                </c:pt>
                <c:pt idx="36">
                  <c:v>83022.883029472505</c:v>
                </c:pt>
                <c:pt idx="37">
                  <c:v>82651.976036801745</c:v>
                </c:pt>
                <c:pt idx="38">
                  <c:v>82484.402853887688</c:v>
                </c:pt>
                <c:pt idx="39">
                  <c:v>82505.691633948343</c:v>
                </c:pt>
                <c:pt idx="40">
                  <c:v>82702.996145167475</c:v>
                </c:pt>
                <c:pt idx="41">
                  <c:v>83064.881468608393</c:v>
                </c:pt>
                <c:pt idx="42">
                  <c:v>83581.141945887139</c:v>
                </c:pt>
                <c:pt idx="43">
                  <c:v>84242.645947041005</c:v>
                </c:pt>
                <c:pt idx="44">
                  <c:v>85065.954142074625</c:v>
                </c:pt>
                <c:pt idx="45">
                  <c:v>87486.535832278372</c:v>
                </c:pt>
                <c:pt idx="46">
                  <c:v>94256.704018783596</c:v>
                </c:pt>
                <c:pt idx="47">
                  <c:v>107768.02339559348</c:v>
                </c:pt>
                <c:pt idx="48">
                  <c:v>130394.23012948554</c:v>
                </c:pt>
                <c:pt idx="49">
                  <c:v>164595.26441455746</c:v>
                </c:pt>
                <c:pt idx="50">
                  <c:v>212958.32456145424</c:v>
                </c:pt>
                <c:pt idx="51">
                  <c:v>278220.06279771216</c:v>
                </c:pt>
                <c:pt idx="52">
                  <c:v>363280.84170090745</c:v>
                </c:pt>
                <c:pt idx="53">
                  <c:v>471215.01818665274</c:v>
                </c:pt>
                <c:pt idx="54">
                  <c:v>605279.0069835044</c:v>
                </c:pt>
                <c:pt idx="55">
                  <c:v>768918.00039428868</c:v>
                </c:pt>
                <c:pt idx="56">
                  <c:v>965771.82385763549</c:v>
                </c:pt>
                <c:pt idx="57">
                  <c:v>1199680.2076886238</c:v>
                </c:pt>
                <c:pt idx="58">
                  <c:v>1474687.6477988961</c:v>
                </c:pt>
                <c:pt idx="59">
                  <c:v>1795047.9665487425</c:v>
                </c:pt>
                <c:pt idx="60">
                  <c:v>2165228.6478259666</c:v>
                </c:pt>
                <c:pt idx="61">
                  <c:v>2589914.9972681166</c:v>
                </c:pt>
                <c:pt idx="62">
                  <c:v>3074014.1635535518</c:v>
                </c:pt>
                <c:pt idx="63">
                  <c:v>3622659.0467068288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21B-458C-BA0A-C55F0C2EDAC6}"/>
            </c:ext>
          </c:extLst>
        </c:ser>
        <c:ser>
          <c:idx val="0"/>
          <c:order val="8"/>
          <c:tx>
            <c:v>H=0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EDisponible!$P$20:$P$84</c:f>
              <c:numCache>
                <c:formatCode>General</c:formatCode>
                <c:ptCount val="65"/>
                <c:pt idx="0">
                  <c:v>400275.57966900425</c:v>
                </c:pt>
                <c:pt idx="1">
                  <c:v>394107.52705885581</c:v>
                </c:pt>
                <c:pt idx="2">
                  <c:v>388581.86155327468</c:v>
                </c:pt>
                <c:pt idx="3">
                  <c:v>383549.3063924039</c:v>
                </c:pt>
                <c:pt idx="4">
                  <c:v>378912.14922960958</c:v>
                </c:pt>
                <c:pt idx="5">
                  <c:v>374602.13330298528</c:v>
                </c:pt>
                <c:pt idx="6">
                  <c:v>370569.21778295178</c:v>
                </c:pt>
                <c:pt idx="7">
                  <c:v>366775.31102186791</c:v>
                </c:pt>
                <c:pt idx="8">
                  <c:v>363190.52497582306</c:v>
                </c:pt>
                <c:pt idx="9">
                  <c:v>359790.81135436572</c:v>
                </c:pt>
                <c:pt idx="10">
                  <c:v>356556.40294251841</c:v>
                </c:pt>
                <c:pt idx="11">
                  <c:v>353470.74802251766</c:v>
                </c:pt>
                <c:pt idx="12">
                  <c:v>350519.7594518516</c:v>
                </c:pt>
                <c:pt idx="13">
                  <c:v>347691.27159981907</c:v>
                </c:pt>
                <c:pt idx="14">
                  <c:v>344974.63870980369</c:v>
                </c:pt>
                <c:pt idx="15">
                  <c:v>342360.43197293096</c:v>
                </c:pt>
                <c:pt idx="16">
                  <c:v>339840.20704926195</c:v>
                </c:pt>
                <c:pt idx="17">
                  <c:v>337406.32285816589</c:v>
                </c:pt>
                <c:pt idx="18">
                  <c:v>335051.79833197762</c:v>
                </c:pt>
                <c:pt idx="19">
                  <c:v>332770.19771687372</c:v>
                </c:pt>
                <c:pt idx="20">
                  <c:v>330555.53763834399</c:v>
                </c:pt>
                <c:pt idx="21">
                  <c:v>328402.21096683957</c:v>
                </c:pt>
                <c:pt idx="22">
                  <c:v>326304.92379693151</c:v>
                </c:pt>
                <c:pt idx="23">
                  <c:v>324258.64276581822</c:v>
                </c:pt>
                <c:pt idx="24">
                  <c:v>322258.55059830536</c:v>
                </c:pt>
                <c:pt idx="25">
                  <c:v>320300.00825106644</c:v>
                </c:pt>
                <c:pt idx="26">
                  <c:v>318378.52239014959</c:v>
                </c:pt>
                <c:pt idx="27">
                  <c:v>316489.71720728913</c:v>
                </c:pt>
                <c:pt idx="28">
                  <c:v>314629.30978701601</c:v>
                </c:pt>
                <c:pt idx="29">
                  <c:v>312793.08839496173</c:v>
                </c:pt>
                <c:pt idx="30">
                  <c:v>310976.89318043471</c:v>
                </c:pt>
                <c:pt idx="31">
                  <c:v>309176.59888214694</c:v>
                </c:pt>
                <c:pt idx="32">
                  <c:v>307388.09920137736</c:v>
                </c:pt>
                <c:pt idx="33">
                  <c:v>305607.29256665095</c:v>
                </c:pt>
                <c:pt idx="34">
                  <c:v>303830.06906174886</c:v>
                </c:pt>
                <c:pt idx="35">
                  <c:v>302052.29832722351</c:v>
                </c:pt>
                <c:pt idx="36">
                  <c:v>300269.81827660487</c:v>
                </c:pt>
                <c:pt idx="37">
                  <c:v>298478.42449369858</c:v>
                </c:pt>
                <c:pt idx="38">
                  <c:v>296673.86019798467</c:v>
                </c:pt>
                <c:pt idx="39">
                  <c:v>294851.80668205884</c:v>
                </c:pt>
                <c:pt idx="40">
                  <c:v>293007.87413903838</c:v>
                </c:pt>
                <c:pt idx="41">
                  <c:v>291137.59280943929</c:v>
                </c:pt>
                <c:pt idx="42">
                  <c:v>289236.40438668698</c:v>
                </c:pt>
                <c:pt idx="43">
                  <c:v>287299.65362848435</c:v>
                </c:pt>
                <c:pt idx="44">
                  <c:v>285322.58012803749</c:v>
                </c:pt>
                <c:pt idx="45">
                  <c:v>283300.31020483177</c:v>
                </c:pt>
                <c:pt idx="46">
                  <c:v>281227.84887947468</c:v>
                </c:pt>
                <c:pt idx="47">
                  <c:v>279100.07190119667</c:v>
                </c:pt>
                <c:pt idx="48">
                  <c:v>276911.71780007443</c:v>
                </c:pt>
                <c:pt idx="49">
                  <c:v>274657.37993899314</c:v>
                </c:pt>
                <c:pt idx="50">
                  <c:v>272331.49854289211</c:v>
                </c:pt>
                <c:pt idx="51">
                  <c:v>269928.35268500034</c:v>
                </c:pt>
                <c:pt idx="52">
                  <c:v>267442.05221162044</c:v>
                </c:pt>
                <c:pt idx="53">
                  <c:v>264866.52958861901</c:v>
                </c:pt>
                <c:pt idx="54">
                  <c:v>262195.53165415145</c:v>
                </c:pt>
                <c:pt idx="55">
                  <c:v>259422.61126333397</c:v>
                </c:pt>
                <c:pt idx="56">
                  <c:v>256541.1188115995</c:v>
                </c:pt>
                <c:pt idx="57">
                  <c:v>253544.19362435659</c:v>
                </c:pt>
                <c:pt idx="58">
                  <c:v>250424.75520133469</c:v>
                </c:pt>
                <c:pt idx="59">
                  <c:v>247175.49430466082</c:v>
                </c:pt>
                <c:pt idx="60">
                  <c:v>243788.86388028748</c:v>
                </c:pt>
                <c:pt idx="61">
                  <c:v>240257.0698028811</c:v>
                </c:pt>
                <c:pt idx="62">
                  <c:v>236572.06143471462</c:v>
                </c:pt>
                <c:pt idx="63">
                  <c:v>232725.52198947591</c:v>
                </c:pt>
                <c:pt idx="64">
                  <c:v>228708.8586922203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1B-458C-BA0A-C55F0C2EDAC6}"/>
            </c:ext>
          </c:extLst>
        </c:ser>
        <c:ser>
          <c:idx val="1"/>
          <c:order val="9"/>
          <c:tx>
            <c:v>H=1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EDisponible!$V$20:$V$84</c:f>
              <c:numCache>
                <c:formatCode>General</c:formatCode>
                <c:ptCount val="65"/>
                <c:pt idx="0">
                  <c:v>334236.46517328115</c:v>
                </c:pt>
                <c:pt idx="1">
                  <c:v>329339.72843682423</c:v>
                </c:pt>
                <c:pt idx="2">
                  <c:v>325045.46704388177</c:v>
                </c:pt>
                <c:pt idx="3">
                  <c:v>321226.93330681021</c:v>
                </c:pt>
                <c:pt idx="4">
                  <c:v>317800.95200322341</c:v>
                </c:pt>
                <c:pt idx="5">
                  <c:v>314709.30068997206</c:v>
                </c:pt>
                <c:pt idx="6">
                  <c:v>311909.24120599497</c:v>
                </c:pt>
                <c:pt idx="7">
                  <c:v>309368.23837693606</c:v>
                </c:pt>
                <c:pt idx="8">
                  <c:v>307060.80180438125</c:v>
                </c:pt>
                <c:pt idx="9">
                  <c:v>304966.49141260918</c:v>
                </c:pt>
                <c:pt idx="10">
                  <c:v>303068.60131779587</c:v>
                </c:pt>
                <c:pt idx="11">
                  <c:v>301353.2592546143</c:v>
                </c:pt>
                <c:pt idx="12">
                  <c:v>299808.79130058875</c:v>
                </c:pt>
                <c:pt idx="13">
                  <c:v>298425.26196016144</c:v>
                </c:pt>
                <c:pt idx="14">
                  <c:v>297194.13365650852</c:v>
                </c:pt>
                <c:pt idx="15">
                  <c:v>296108.00965019141</c:v>
                </c:pt>
                <c:pt idx="16">
                  <c:v>295160.4365717147</c:v>
                </c:pt>
                <c:pt idx="17">
                  <c:v>294345.7504059567</c:v>
                </c:pt>
                <c:pt idx="18">
                  <c:v>293658.95471207483</c:v>
                </c:pt>
                <c:pt idx="19">
                  <c:v>293095.62313872651</c:v>
                </c:pt>
                <c:pt idx="20">
                  <c:v>292651.82051278109</c:v>
                </c:pt>
                <c:pt idx="21">
                  <c:v>292324.03831155412</c:v>
                </c:pt>
                <c:pt idx="22">
                  <c:v>292109.14140531869</c:v>
                </c:pt>
                <c:pt idx="23">
                  <c:v>292004.32372599276</c:v>
                </c:pt>
                <c:pt idx="24">
                  <c:v>291595.62480559025</c:v>
                </c:pt>
                <c:pt idx="25">
                  <c:v>290027.42136903282</c:v>
                </c:pt>
                <c:pt idx="26">
                  <c:v>288499.48121639621</c:v>
                </c:pt>
                <c:pt idx="27">
                  <c:v>287008.0270815554</c:v>
                </c:pt>
                <c:pt idx="28">
                  <c:v>285549.36494093604</c:v>
                </c:pt>
                <c:pt idx="29">
                  <c:v>284119.86536267243</c:v>
                </c:pt>
                <c:pt idx="30">
                  <c:v>282715.94689293788</c:v>
                </c:pt>
                <c:pt idx="31">
                  <c:v>281334.0611324808</c:v>
                </c:pt>
                <c:pt idx="32">
                  <c:v>279970.6792199199</c:v>
                </c:pt>
                <c:pt idx="33">
                  <c:v>278622.27948873327</c:v>
                </c:pt>
                <c:pt idx="34">
                  <c:v>277285.33610509167</c:v>
                </c:pt>
                <c:pt idx="35">
                  <c:v>275956.30852601147</c:v>
                </c:pt>
                <c:pt idx="36">
                  <c:v>274631.63164343429</c:v>
                </c:pt>
                <c:pt idx="37">
                  <c:v>273307.7065010877</c:v>
                </c:pt>
                <c:pt idx="38">
                  <c:v>271980.89148835442</c:v>
                </c:pt>
                <c:pt idx="39">
                  <c:v>270647.49392964615</c:v>
                </c:pt>
                <c:pt idx="40">
                  <c:v>269303.76199956052</c:v>
                </c:pt>
                <c:pt idx="41">
                  <c:v>267945.87690387352</c:v>
                </c:pt>
                <c:pt idx="42">
                  <c:v>266569.94527454727</c:v>
                </c:pt>
                <c:pt idx="43">
                  <c:v>265171.99173374608</c:v>
                </c:pt>
                <c:pt idx="44">
                  <c:v>263747.9515875504</c:v>
                </c:pt>
                <c:pt idx="45">
                  <c:v>262293.66361487116</c:v>
                </c:pt>
                <c:pt idx="46">
                  <c:v>260804.86292112892</c:v>
                </c:pt>
                <c:pt idx="47">
                  <c:v>259277.17382969995</c:v>
                </c:pt>
                <c:pt idx="48">
                  <c:v>257706.10278705705</c:v>
                </c:pt>
                <c:pt idx="49">
                  <c:v>256087.03126003058</c:v>
                </c:pt>
                <c:pt idx="50">
                  <c:v>254415.20860573874</c:v>
                </c:pt>
                <c:pt idx="51">
                  <c:v>252685.74489656027</c:v>
                </c:pt>
                <c:pt idx="52">
                  <c:v>250893.60368409174</c:v>
                </c:pt>
                <c:pt idx="53">
                  <c:v>249033.59468736945</c:v>
                </c:pt>
                <c:pt idx="54">
                  <c:v>247100.3663917993</c:v>
                </c:pt>
                <c:pt idx="55">
                  <c:v>245088.39854622984</c:v>
                </c:pt>
                <c:pt idx="56">
                  <c:v>242991.99454647326</c:v>
                </c:pt>
                <c:pt idx="57">
                  <c:v>240805.27369431366</c:v>
                </c:pt>
                <c:pt idx="58">
                  <c:v>238522.16332169148</c:v>
                </c:pt>
                <c:pt idx="59">
                  <c:v>236136.39077031068</c:v>
                </c:pt>
                <c:pt idx="60">
                  <c:v>233641.47521738583</c:v>
                </c:pt>
                <c:pt idx="61">
                  <c:v>231030.71933867698</c:v>
                </c:pt>
                <c:pt idx="62">
                  <c:v>228297.20080030622</c:v>
                </c:pt>
                <c:pt idx="63">
                  <c:v>225433.76357116643</c:v>
                </c:pt>
                <c:pt idx="64">
                  <c:v>222433.00904799977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1B-458C-BA0A-C55F0C2EDAC6}"/>
            </c:ext>
          </c:extLst>
        </c:ser>
        <c:ser>
          <c:idx val="2"/>
          <c:order val="10"/>
          <c:tx>
            <c:v>H=2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EDisponible!$AB$20:$AB$84</c:f>
              <c:numCache>
                <c:formatCode>General</c:formatCode>
                <c:ptCount val="65"/>
                <c:pt idx="0">
                  <c:v>276862.60412427573</c:v>
                </c:pt>
                <c:pt idx="1">
                  <c:v>272775.07142245333</c:v>
                </c:pt>
                <c:pt idx="2">
                  <c:v>269193.45778318925</c:v>
                </c:pt>
                <c:pt idx="3">
                  <c:v>266011.64432018233</c:v>
                </c:pt>
                <c:pt idx="4">
                  <c:v>263159.97879810218</c:v>
                </c:pt>
                <c:pt idx="5">
                  <c:v>260589.69493708402</c:v>
                </c:pt>
                <c:pt idx="6">
                  <c:v>258264.98898923802</c:v>
                </c:pt>
                <c:pt idx="7">
                  <c:v>256158.60003845178</c:v>
                </c:pt>
                <c:pt idx="8">
                  <c:v>254249.16687711369</c:v>
                </c:pt>
                <c:pt idx="9">
                  <c:v>252519.55873164773</c:v>
                </c:pt>
                <c:pt idx="10">
                  <c:v>250955.77363614019</c:v>
                </c:pt>
                <c:pt idx="11">
                  <c:v>249546.18457401154</c:v>
                </c:pt>
                <c:pt idx="12">
                  <c:v>248281.00764869625</c:v>
                </c:pt>
                <c:pt idx="13">
                  <c:v>247151.91702030363</c:v>
                </c:pt>
                <c:pt idx="14">
                  <c:v>246151.75978462372</c:v>
                </c:pt>
                <c:pt idx="15">
                  <c:v>245274.34068283299</c:v>
                </c:pt>
                <c:pt idx="16">
                  <c:v>244514.25671274634</c:v>
                </c:pt>
                <c:pt idx="17">
                  <c:v>243866.76811507836</c:v>
                </c:pt>
                <c:pt idx="18">
                  <c:v>243327.6963469839</c:v>
                </c:pt>
                <c:pt idx="19">
                  <c:v>242893.34239698388</c:v>
                </c:pt>
                <c:pt idx="20">
                  <c:v>242560.42065191231</c:v>
                </c:pt>
                <c:pt idx="21">
                  <c:v>242326.00480857198</c:v>
                </c:pt>
                <c:pt idx="22">
                  <c:v>242187.48322394607</c:v>
                </c:pt>
                <c:pt idx="23">
                  <c:v>242142.52174157125</c:v>
                </c:pt>
                <c:pt idx="24">
                  <c:v>242189.03249833838</c:v>
                </c:pt>
                <c:pt idx="25">
                  <c:v>242325.14755887157</c:v>
                </c:pt>
                <c:pt idx="26">
                  <c:v>242549.19647972318</c:v>
                </c:pt>
                <c:pt idx="27">
                  <c:v>242859.68709754501</c:v>
                </c:pt>
                <c:pt idx="28">
                  <c:v>243255.28898137427</c:v>
                </c:pt>
                <c:pt idx="29">
                  <c:v>243734.81910126211</c:v>
                </c:pt>
                <c:pt idx="30">
                  <c:v>244297.22935235463</c:v>
                </c:pt>
                <c:pt idx="31">
                  <c:v>244941.59564145177</c:v>
                </c:pt>
                <c:pt idx="32">
                  <c:v>245667.10829658582</c:v>
                </c:pt>
                <c:pt idx="33">
                  <c:v>246473.06360264076</c:v>
                </c:pt>
                <c:pt idx="34">
                  <c:v>247358.85630000907</c:v>
                </c:pt>
                <c:pt idx="35">
                  <c:v>248323.97291061073</c:v>
                </c:pt>
                <c:pt idx="36">
                  <c:v>247853.48950802637</c:v>
                </c:pt>
                <c:pt idx="37">
                  <c:v>246913.9909916769</c:v>
                </c:pt>
                <c:pt idx="38">
                  <c:v>245979.33705203244</c:v>
                </c:pt>
                <c:pt idx="39">
                  <c:v>245046.39460820096</c:v>
                </c:pt>
                <c:pt idx="40">
                  <c:v>244111.981760155</c:v>
                </c:pt>
                <c:pt idx="41">
                  <c:v>243172.86091096228</c:v>
                </c:pt>
                <c:pt idx="42">
                  <c:v>242225.73206459556</c:v>
                </c:pt>
                <c:pt idx="43">
                  <c:v>241267.22626109983</c:v>
                </c:pt>
                <c:pt idx="44">
                  <c:v>240293.89911567181</c:v>
                </c:pt>
                <c:pt idx="45">
                  <c:v>239302.2244322428</c:v>
                </c:pt>
                <c:pt idx="46">
                  <c:v>238288.58786555473</c:v>
                </c:pt>
                <c:pt idx="47">
                  <c:v>237249.2806086106</c:v>
                </c:pt>
                <c:pt idx="48">
                  <c:v>236180.49308482822</c:v>
                </c:pt>
                <c:pt idx="49">
                  <c:v>235078.30862631954</c:v>
                </c:pt>
                <c:pt idx="50">
                  <c:v>233938.69712150196</c:v>
                </c:pt>
                <c:pt idx="51">
                  <c:v>232757.50861677658</c:v>
                </c:pt>
                <c:pt idx="52">
                  <c:v>231530.46685831877</c:v>
                </c:pt>
                <c:pt idx="53">
                  <c:v>230253.16276115685</c:v>
                </c:pt>
                <c:pt idx="54">
                  <c:v>228921.04779367952</c:v>
                </c:pt>
                <c:pt idx="55">
                  <c:v>227529.42726655334</c:v>
                </c:pt>
                <c:pt idx="56">
                  <c:v>226073.45351574896</c:v>
                </c:pt>
                <c:pt idx="57">
                  <c:v>224548.11897000103</c:v>
                </c:pt>
                <c:pt idx="58">
                  <c:v>222948.24909356178</c:v>
                </c:pt>
                <c:pt idx="59">
                  <c:v>221268.49519557614</c:v>
                </c:pt>
                <c:pt idx="60">
                  <c:v>219503.32709780298</c:v>
                </c:pt>
                <c:pt idx="61">
                  <c:v>217647.02565276122</c:v>
                </c:pt>
                <c:pt idx="62">
                  <c:v>215693.67510467014</c:v>
                </c:pt>
                <c:pt idx="63">
                  <c:v>213637.15528581769</c:v>
                </c:pt>
                <c:pt idx="64">
                  <c:v>211471.13364120925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1B-458C-BA0A-C55F0C2EDAC6}"/>
            </c:ext>
          </c:extLst>
        </c:ser>
        <c:ser>
          <c:idx val="3"/>
          <c:order val="11"/>
          <c:tx>
            <c:v>H=3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EDisponible!$AH$20:$AH$84</c:f>
              <c:numCache>
                <c:formatCode>General</c:formatCode>
                <c:ptCount val="65"/>
                <c:pt idx="0">
                  <c:v>227745.37994044076</c:v>
                </c:pt>
                <c:pt idx="1">
                  <c:v>224356.24323601104</c:v>
                </c:pt>
                <c:pt idx="2">
                  <c:v>221389.24380271847</c:v>
                </c:pt>
                <c:pt idx="3">
                  <c:v>218756.1133526059</c:v>
                </c:pt>
                <c:pt idx="4">
                  <c:v>216398.90358652564</c:v>
                </c:pt>
                <c:pt idx="5">
                  <c:v>214277.03395216566</c:v>
                </c:pt>
                <c:pt idx="6">
                  <c:v>212360.70461323031</c:v>
                </c:pt>
                <c:pt idx="7">
                  <c:v>210627.22200372737</c:v>
                </c:pt>
                <c:pt idx="8">
                  <c:v>209058.801259806</c:v>
                </c:pt>
                <c:pt idx="9">
                  <c:v>207641.17824193768</c:v>
                </c:pt>
                <c:pt idx="10">
                  <c:v>206362.69347671335</c:v>
                </c:pt>
                <c:pt idx="11">
                  <c:v>205213.66523017568</c:v>
                </c:pt>
                <c:pt idx="12">
                  <c:v>204185.9471823184</c:v>
                </c:pt>
                <c:pt idx="13">
                  <c:v>203272.60813285236</c:v>
                </c:pt>
                <c:pt idx="14">
                  <c:v>202467.69481032461</c:v>
                </c:pt>
                <c:pt idx="15">
                  <c:v>201766.05274977986</c:v>
                </c:pt>
                <c:pt idx="16">
                  <c:v>201163.18866932034</c:v>
                </c:pt>
                <c:pt idx="17">
                  <c:v>200655.16309880713</c:v>
                </c:pt>
                <c:pt idx="18">
                  <c:v>200238.5054548867</c:v>
                </c:pt>
                <c:pt idx="19">
                  <c:v>199910.14603609068</c:v>
                </c:pt>
                <c:pt idx="20">
                  <c:v>199667.36095533319</c:v>
                </c:pt>
                <c:pt idx="21">
                  <c:v>199507.72709308294</c:v>
                </c:pt>
                <c:pt idx="22">
                  <c:v>199429.08490379006</c:v>
                </c:pt>
                <c:pt idx="23">
                  <c:v>199429.50744342734</c:v>
                </c:pt>
                <c:pt idx="24">
                  <c:v>199507.27437404735</c:v>
                </c:pt>
                <c:pt idx="25">
                  <c:v>199660.84998639708</c:v>
                </c:pt>
                <c:pt idx="26">
                  <c:v>199888.86449374186</c:v>
                </c:pt>
                <c:pt idx="27">
                  <c:v>200190.09800967755</c:v>
                </c:pt>
                <c:pt idx="28">
                  <c:v>200563.46674410003</c:v>
                </c:pt>
                <c:pt idx="29">
                  <c:v>201008.01104473195</c:v>
                </c:pt>
                <c:pt idx="30">
                  <c:v>201522.88498386682</c:v>
                </c:pt>
                <c:pt idx="31">
                  <c:v>202107.34724648451</c:v>
                </c:pt>
                <c:pt idx="32">
                  <c:v>202760.75312040147</c:v>
                </c:pt>
                <c:pt idx="33">
                  <c:v>203482.54742446353</c:v>
                </c:pt>
                <c:pt idx="34">
                  <c:v>204272.25823904554</c:v>
                </c:pt>
                <c:pt idx="35">
                  <c:v>205129.49132586599</c:v>
                </c:pt>
                <c:pt idx="36">
                  <c:v>206053.92514254642</c:v>
                </c:pt>
                <c:pt idx="37">
                  <c:v>207045.30637235235</c:v>
                </c:pt>
                <c:pt idx="38">
                  <c:v>208103.44590185027</c:v>
                </c:pt>
                <c:pt idx="39">
                  <c:v>209228.21518934079</c:v>
                </c:pt>
                <c:pt idx="40">
                  <c:v>210419.54297531708</c:v>
                </c:pt>
                <c:pt idx="41">
                  <c:v>211677.41229316397</c:v>
                </c:pt>
                <c:pt idx="42">
                  <c:v>213001.85774414925</c:v>
                </c:pt>
                <c:pt idx="43">
                  <c:v>214392.96300564011</c:v>
                </c:pt>
                <c:pt idx="44">
                  <c:v>215850.85854560675</c:v>
                </c:pt>
                <c:pt idx="45">
                  <c:v>215361.26124199288</c:v>
                </c:pt>
                <c:pt idx="46">
                  <c:v>214728.19023571484</c:v>
                </c:pt>
                <c:pt idx="47">
                  <c:v>214079.90882189752</c:v>
                </c:pt>
                <c:pt idx="48">
                  <c:v>213413.21323244835</c:v>
                </c:pt>
                <c:pt idx="49">
                  <c:v>212724.80839919843</c:v>
                </c:pt>
                <c:pt idx="50">
                  <c:v>212011.30231877591</c:v>
                </c:pt>
                <c:pt idx="51">
                  <c:v>211269.20037138966</c:v>
                </c:pt>
                <c:pt idx="52">
                  <c:v>210494.89958143531</c:v>
                </c:pt>
                <c:pt idx="53">
                  <c:v>209684.68280877228</c:v>
                </c:pt>
                <c:pt idx="54">
                  <c:v>208834.71286032625</c:v>
                </c:pt>
                <c:pt idx="55">
                  <c:v>207941.02651237269</c:v>
                </c:pt>
                <c:pt idx="56">
                  <c:v>206999.5284344517</c:v>
                </c:pt>
                <c:pt idx="57">
                  <c:v>206005.985006387</c:v>
                </c:pt>
                <c:pt idx="58">
                  <c:v>204956.01802032415</c:v>
                </c:pt>
                <c:pt idx="59">
                  <c:v>203845.09826009371</c:v>
                </c:pt>
                <c:pt idx="60">
                  <c:v>202668.53895053599</c:v>
                </c:pt>
                <c:pt idx="61">
                  <c:v>201421.48906970941</c:v>
                </c:pt>
                <c:pt idx="62">
                  <c:v>200098.92651715546</c:v>
                </c:pt>
                <c:pt idx="63">
                  <c:v>198695.65113160346</c:v>
                </c:pt>
                <c:pt idx="64">
                  <c:v>197206.27755167973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21B-458C-BA0A-C55F0C2EDAC6}"/>
            </c:ext>
          </c:extLst>
        </c:ser>
        <c:ser>
          <c:idx val="4"/>
          <c:order val="12"/>
          <c:tx>
            <c:v>H=4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EDisponible!$AN$20:$AN$84</c:f>
              <c:numCache>
                <c:formatCode>General</c:formatCode>
                <c:ptCount val="65"/>
                <c:pt idx="0">
                  <c:v>185941.95939726426</c:v>
                </c:pt>
                <c:pt idx="1">
                  <c:v>183152.21965319422</c:v>
                </c:pt>
                <c:pt idx="2">
                  <c:v>180712.3015169237</c:v>
                </c:pt>
                <c:pt idx="3">
                  <c:v>178549.29974566438</c:v>
                </c:pt>
                <c:pt idx="4">
                  <c:v>176615.34097112293</c:v>
                </c:pt>
                <c:pt idx="5">
                  <c:v>174876.89246838962</c:v>
                </c:pt>
                <c:pt idx="6">
                  <c:v>173309.32473766958</c:v>
                </c:pt>
                <c:pt idx="7">
                  <c:v>171893.8781792557</c:v>
                </c:pt>
                <c:pt idx="8">
                  <c:v>170615.84884167369</c:v>
                </c:pt>
                <c:pt idx="9">
                  <c:v>169463.4424599034</c:v>
                </c:pt>
                <c:pt idx="10">
                  <c:v>168427.01806229542</c:v>
                </c:pt>
                <c:pt idx="11">
                  <c:v>167498.57026508707</c:v>
                </c:pt>
                <c:pt idx="12">
                  <c:v>166671.36396846198</c:v>
                </c:pt>
                <c:pt idx="13">
                  <c:v>165939.66980350338</c:v>
                </c:pt>
                <c:pt idx="14">
                  <c:v>165298.56819453879</c:v>
                </c:pt>
                <c:pt idx="15">
                  <c:v>164743.80136962674</c:v>
                </c:pt>
                <c:pt idx="16">
                  <c:v>164271.65963975716</c:v>
                </c:pt>
                <c:pt idx="17">
                  <c:v>163878.89266139604</c:v>
                </c:pt>
                <c:pt idx="18">
                  <c:v>163562.63923757305</c:v>
                </c:pt>
                <c:pt idx="19">
                  <c:v>163320.37109459948</c:v>
                </c:pt>
                <c:pt idx="20">
                  <c:v>163149.84734582761</c:v>
                </c:pt>
                <c:pt idx="21">
                  <c:v>163049.07723391466</c:v>
                </c:pt>
                <c:pt idx="22">
                  <c:v>163016.28936169163</c:v>
                </c:pt>
                <c:pt idx="23">
                  <c:v>163049.90606369174</c:v>
                </c:pt>
                <c:pt idx="24">
                  <c:v>163148.52189079809</c:v>
                </c:pt>
                <c:pt idx="25">
                  <c:v>163310.88541590347</c:v>
                </c:pt>
                <c:pt idx="26">
                  <c:v>163535.88374363829</c:v>
                </c:pt>
                <c:pt idx="27">
                  <c:v>163822.52923902863</c:v>
                </c:pt>
                <c:pt idx="28">
                  <c:v>164169.948090199</c:v>
                </c:pt>
                <c:pt idx="29">
                  <c:v>164577.3703972279</c:v>
                </c:pt>
                <c:pt idx="30">
                  <c:v>165044.12153894731</c:v>
                </c:pt>
                <c:pt idx="31">
                  <c:v>165569.61461612998</c:v>
                </c:pt>
                <c:pt idx="32">
                  <c:v>166153.343806283</c:v>
                </c:pt>
                <c:pt idx="33">
                  <c:v>166794.87849445411</c:v>
                </c:pt>
                <c:pt idx="34">
                  <c:v>167493.8580678023</c:v>
                </c:pt>
                <c:pt idx="35">
                  <c:v>168249.98728047282</c:v>
                </c:pt>
                <c:pt idx="36">
                  <c:v>169063.03211053752</c:v>
                </c:pt>
                <c:pt idx="37">
                  <c:v>169932.81604315824</c:v>
                </c:pt>
                <c:pt idx="38">
                  <c:v>170859.21672429668</c:v>
                </c:pt>
                <c:pt idx="39">
                  <c:v>171842.16293765546</c:v>
                </c:pt>
                <c:pt idx="40">
                  <c:v>172881.6318644727</c:v>
                </c:pt>
                <c:pt idx="41">
                  <c:v>173977.64659154764</c:v>
                </c:pt>
                <c:pt idx="42">
                  <c:v>175130.27383769734</c:v>
                </c:pt>
                <c:pt idx="43">
                  <c:v>176339.62187288346</c:v>
                </c:pt>
                <c:pt idx="44">
                  <c:v>177605.8386076529</c:v>
                </c:pt>
                <c:pt idx="45">
                  <c:v>178929.10983342474</c:v>
                </c:pt>
                <c:pt idx="46">
                  <c:v>180309.65759659346</c:v>
                </c:pt>
                <c:pt idx="47">
                  <c:v>181747.73869151494</c:v>
                </c:pt>
                <c:pt idx="48">
                  <c:v>183243.64325921735</c:v>
                </c:pt>
                <c:pt idx="49">
                  <c:v>184797.69348021675</c:v>
                </c:pt>
                <c:pt idx="50">
                  <c:v>186410.24235112834</c:v>
                </c:pt>
                <c:pt idx="51">
                  <c:v>188081.67253590858</c:v>
                </c:pt>
                <c:pt idx="52">
                  <c:v>188722.16304514927</c:v>
                </c:pt>
                <c:pt idx="53">
                  <c:v>188279.2078179649</c:v>
                </c:pt>
                <c:pt idx="54">
                  <c:v>187808.65781557065</c:v>
                </c:pt>
                <c:pt idx="55">
                  <c:v>187307.19423498659</c:v>
                </c:pt>
                <c:pt idx="56">
                  <c:v>186771.38472992275</c:v>
                </c:pt>
                <c:pt idx="57">
                  <c:v>186197.67792052004</c:v>
                </c:pt>
                <c:pt idx="58">
                  <c:v>185582.39779743165</c:v>
                </c:pt>
                <c:pt idx="59">
                  <c:v>184921.73801343027</c:v>
                </c:pt>
                <c:pt idx="60">
                  <c:v>184211.75605600036</c:v>
                </c:pt>
                <c:pt idx="61">
                  <c:v>183448.36729461217</c:v>
                </c:pt>
                <c:pt idx="62">
                  <c:v>182627.33889657291</c:v>
                </c:pt>
                <c:pt idx="63">
                  <c:v>181744.28360553074</c:v>
                </c:pt>
                <c:pt idx="64">
                  <c:v>180794.65337684896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1B-458C-BA0A-C55F0C2EDAC6}"/>
            </c:ext>
          </c:extLst>
        </c:ser>
        <c:ser>
          <c:idx val="5"/>
          <c:order val="13"/>
          <c:tx>
            <c:v>H=5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EDisponible!$AT$20:$AT$84</c:f>
              <c:numCache>
                <c:formatCode>General</c:formatCode>
                <c:ptCount val="65"/>
                <c:pt idx="0">
                  <c:v>150587.08192722261</c:v>
                </c:pt>
                <c:pt idx="1">
                  <c:v>148308.67613790097</c:v>
                </c:pt>
                <c:pt idx="2">
                  <c:v>146318.02622370634</c:v>
                </c:pt>
                <c:pt idx="3">
                  <c:v>144555.37205127068</c:v>
                </c:pt>
                <c:pt idx="4">
                  <c:v>142981.46249281822</c:v>
                </c:pt>
                <c:pt idx="5">
                  <c:v>141568.79772747718</c:v>
                </c:pt>
                <c:pt idx="6">
                  <c:v>140297.17496589827</c:v>
                </c:pt>
                <c:pt idx="7">
                  <c:v>139151.20343277784</c:v>
                </c:pt>
                <c:pt idx="8">
                  <c:v>138118.81795669219</c:v>
                </c:pt>
                <c:pt idx="9">
                  <c:v>137190.34001140355</c:v>
                </c:pt>
                <c:pt idx="10">
                  <c:v>136357.85789803416</c:v>
                </c:pt>
                <c:pt idx="11">
                  <c:v>135614.80247291495</c:v>
                </c:pt>
                <c:pt idx="12">
                  <c:v>134955.64773737919</c:v>
                </c:pt>
                <c:pt idx="13">
                  <c:v>134375.69397706931</c:v>
                </c:pt>
                <c:pt idx="14">
                  <c:v>133870.90712433326</c:v>
                </c:pt>
                <c:pt idx="15">
                  <c:v>133437.797411818</c:v>
                </c:pt>
                <c:pt idx="16">
                  <c:v>133073.32610977374</c:v>
                </c:pt>
                <c:pt idx="17">
                  <c:v>132774.8327392783</c:v>
                </c:pt>
                <c:pt idx="18">
                  <c:v>132539.97748070644</c:v>
                </c:pt>
                <c:pt idx="19">
                  <c:v>132366.69503853243</c:v>
                </c:pt>
                <c:pt idx="20">
                  <c:v>132253.15726760455</c:v>
                </c:pt>
                <c:pt idx="21">
                  <c:v>132197.74258706821</c:v>
                </c:pt>
                <c:pt idx="22">
                  <c:v>132199.01071500129</c:v>
                </c:pt>
                <c:pt idx="23">
                  <c:v>132255.6816189489</c:v>
                </c:pt>
                <c:pt idx="24">
                  <c:v>132366.61784009167</c:v>
                </c:pt>
                <c:pt idx="25">
                  <c:v>132530.80954170923</c:v>
                </c:pt>
                <c:pt idx="26">
                  <c:v>132747.36177613662</c:v>
                </c:pt>
                <c:pt idx="27">
                  <c:v>133015.48357244002</c:v>
                </c:pt>
                <c:pt idx="28">
                  <c:v>133334.4785291923</c:v>
                </c:pt>
                <c:pt idx="29">
                  <c:v>133703.73665983928</c:v>
                </c:pt>
                <c:pt idx="30">
                  <c:v>134122.7272870618</c:v>
                </c:pt>
                <c:pt idx="31">
                  <c:v>134590.9928207855</c:v>
                </c:pt>
                <c:pt idx="32">
                  <c:v>135108.14328463087</c:v>
                </c:pt>
                <c:pt idx="33">
                  <c:v>135673.85147952675</c:v>
                </c:pt>
                <c:pt idx="34">
                  <c:v>136287.84869234831</c:v>
                </c:pt>
                <c:pt idx="35">
                  <c:v>136949.92087284787</c:v>
                </c:pt>
                <c:pt idx="36">
                  <c:v>137659.90521462404</c:v>
                </c:pt>
                <c:pt idx="37">
                  <c:v>138417.68708604251</c:v>
                </c:pt>
                <c:pt idx="38">
                  <c:v>139223.19726535445</c:v>
                </c:pt>
                <c:pt idx="39">
                  <c:v>140076.4094411238</c:v>
                </c:pt>
                <c:pt idx="40">
                  <c:v>140977.33794475385</c:v>
                </c:pt>
                <c:pt idx="41">
                  <c:v>141926.03568663393</c:v>
                </c:pt>
                <c:pt idx="42">
                  <c:v>142922.59227137646</c:v>
                </c:pt>
                <c:pt idx="43">
                  <c:v>143967.1322709306</c:v>
                </c:pt>
                <c:pt idx="44">
                  <c:v>145059.81363715307</c:v>
                </c:pt>
                <c:pt idx="45">
                  <c:v>146200.82623778196</c:v>
                </c:pt>
                <c:pt idx="46">
                  <c:v>147390.39050176713</c:v>
                </c:pt>
                <c:pt idx="47">
                  <c:v>148628.75616162177</c:v>
                </c:pt>
                <c:pt idx="48">
                  <c:v>149916.20108192565</c:v>
                </c:pt>
                <c:pt idx="49">
                  <c:v>151253.03016436525</c:v>
                </c:pt>
                <c:pt idx="50">
                  <c:v>152639.57432077656</c:v>
                </c:pt>
                <c:pt idx="51">
                  <c:v>154076.18950659374</c:v>
                </c:pt>
                <c:pt idx="52">
                  <c:v>155563.25580790994</c:v>
                </c:pt>
                <c:pt idx="53">
                  <c:v>157101.17657606371</c:v>
                </c:pt>
                <c:pt idx="54">
                  <c:v>158690.37760427091</c:v>
                </c:pt>
                <c:pt idx="55">
                  <c:v>160331.30634135997</c:v>
                </c:pt>
                <c:pt idx="56">
                  <c:v>162024.43113812877</c:v>
                </c:pt>
                <c:pt idx="57">
                  <c:v>163770.24052225839</c:v>
                </c:pt>
                <c:pt idx="58">
                  <c:v>165569.24249807026</c:v>
                </c:pt>
                <c:pt idx="59">
                  <c:v>165359.44330506778</c:v>
                </c:pt>
                <c:pt idx="60">
                  <c:v>165011.45489078524</c:v>
                </c:pt>
                <c:pt idx="61">
                  <c:v>164624.04513171015</c:v>
                </c:pt>
                <c:pt idx="62">
                  <c:v>164193.67433160148</c:v>
                </c:pt>
                <c:pt idx="63">
                  <c:v>163716.66950262233</c:v>
                </c:pt>
                <c:pt idx="64">
                  <c:v>163189.218716159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21B-458C-BA0A-C55F0C2EDAC6}"/>
            </c:ext>
          </c:extLst>
        </c:ser>
        <c:ser>
          <c:idx val="6"/>
          <c:order val="14"/>
          <c:tx>
            <c:v>H=6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EDisponible!$AZ$20:$AZ$84</c:f>
              <c:numCache>
                <c:formatCode>General</c:formatCode>
                <c:ptCount val="65"/>
                <c:pt idx="0">
                  <c:v>120889.344086343</c:v>
                </c:pt>
                <c:pt idx="1">
                  <c:v>119044.30609208034</c:v>
                </c:pt>
                <c:pt idx="2">
                  <c:v>117434.08080146959</c:v>
                </c:pt>
                <c:pt idx="3">
                  <c:v>116010.08463198144</c:v>
                </c:pt>
                <c:pt idx="4">
                  <c:v>114740.39910660741</c:v>
                </c:pt>
                <c:pt idx="5">
                  <c:v>113602.65616168822</c:v>
                </c:pt>
                <c:pt idx="6">
                  <c:v>112580.41932494218</c:v>
                </c:pt>
                <c:pt idx="7">
                  <c:v>111661.16466033779</c:v>
                </c:pt>
                <c:pt idx="8">
                  <c:v>110835.07297981415</c:v>
                </c:pt>
                <c:pt idx="9">
                  <c:v>110094.26682110025</c:v>
                </c:pt>
                <c:pt idx="10">
                  <c:v>109432.30671677137</c:v>
                </c:pt>
                <c:pt idx="11">
                  <c:v>108843.84634558538</c:v>
                </c:pt>
                <c:pt idx="12">
                  <c:v>108324.38914076731</c:v>
                </c:pt>
                <c:pt idx="13">
                  <c:v>107870.11197835262</c:v>
                </c:pt>
                <c:pt idx="14">
                  <c:v>107477.73455580589</c:v>
                </c:pt>
                <c:pt idx="15">
                  <c:v>107144.42070347619</c:v>
                </c:pt>
                <c:pt idx="16">
                  <c:v>106867.70252222659</c:v>
                </c:pt>
                <c:pt idx="17">
                  <c:v>106645.42116521565</c:v>
                </c:pt>
                <c:pt idx="18">
                  <c:v>106475.6799725747</c:v>
                </c:pt>
                <c:pt idx="19">
                  <c:v>106356.80692044395</c:v>
                </c:pt>
                <c:pt idx="20">
                  <c:v>106287.32419416885</c:v>
                </c:pt>
                <c:pt idx="21">
                  <c:v>106265.92328136072</c:v>
                </c:pt>
                <c:pt idx="22">
                  <c:v>106291.44439242585</c:v>
                </c:pt>
                <c:pt idx="23">
                  <c:v>106362.85931044674</c:v>
                </c:pt>
                <c:pt idx="24">
                  <c:v>106479.25698566524</c:v>
                </c:pt>
                <c:pt idx="25">
                  <c:v>106639.83134660976</c:v>
                </c:pt>
                <c:pt idx="26">
                  <c:v>106843.87091657701</c:v>
                </c:pt>
                <c:pt idx="27">
                  <c:v>107090.7499119729</c:v>
                </c:pt>
                <c:pt idx="28">
                  <c:v>107379.92056580658</c:v>
                </c:pt>
                <c:pt idx="29">
                  <c:v>107710.90647092408</c:v>
                </c:pt>
                <c:pt idx="30">
                  <c:v>108083.29677733926</c:v>
                </c:pt>
                <c:pt idx="31">
                  <c:v>108496.7411091096</c:v>
                </c:pt>
                <c:pt idx="32">
                  <c:v>108950.94509071042</c:v>
                </c:pt>
                <c:pt idx="33">
                  <c:v>109445.66639231968</c:v>
                </c:pt>
                <c:pt idx="34">
                  <c:v>109980.71121898841</c:v>
                </c:pt>
                <c:pt idx="35">
                  <c:v>110555.93118119787</c:v>
                </c:pt>
                <c:pt idx="36">
                  <c:v>111171.22049445371</c:v>
                </c:pt>
                <c:pt idx="37">
                  <c:v>111826.51346383827</c:v>
                </c:pt>
                <c:pt idx="38">
                  <c:v>112521.78221621676</c:v>
                </c:pt>
                <c:pt idx="39">
                  <c:v>113257.03464838001</c:v>
                </c:pt>
                <c:pt idx="40">
                  <c:v>114032.31256402485</c:v>
                </c:pt>
                <c:pt idx="41">
                  <c:v>114847.68997632276</c:v>
                </c:pt>
                <c:pt idx="42">
                  <c:v>115703.27155604052</c:v>
                </c:pt>
                <c:pt idx="43">
                  <c:v>116599.19120787342</c:v>
                </c:pt>
                <c:pt idx="44">
                  <c:v>117535.61075992779</c:v>
                </c:pt>
                <c:pt idx="45">
                  <c:v>118512.71875321187</c:v>
                </c:pt>
                <c:pt idx="46">
                  <c:v>119530.72931963032</c:v>
                </c:pt>
                <c:pt idx="47">
                  <c:v>120589.88113836778</c:v>
                </c:pt>
                <c:pt idx="48">
                  <c:v>121690.43646174285</c:v>
                </c:pt>
                <c:pt idx="49">
                  <c:v>122832.68020263124</c:v>
                </c:pt>
                <c:pt idx="50">
                  <c:v>124016.91907644203</c:v>
                </c:pt>
                <c:pt idx="51">
                  <c:v>125243.48079138687</c:v>
                </c:pt>
                <c:pt idx="52">
                  <c:v>126512.71328144173</c:v>
                </c:pt>
                <c:pt idx="53">
                  <c:v>127824.98397697367</c:v>
                </c:pt>
                <c:pt idx="54">
                  <c:v>129180.67910849898</c:v>
                </c:pt>
                <c:pt idx="55">
                  <c:v>130580.20303947473</c:v>
                </c:pt>
                <c:pt idx="56">
                  <c:v>132023.97762440742</c:v>
                </c:pt>
                <c:pt idx="57">
                  <c:v>133512.44158889103</c:v>
                </c:pt>
                <c:pt idx="58">
                  <c:v>135046.04992848376</c:v>
                </c:pt>
                <c:pt idx="59">
                  <c:v>136625.27332358493</c:v>
                </c:pt>
                <c:pt idx="60">
                  <c:v>138250.59756770747</c:v>
                </c:pt>
                <c:pt idx="61">
                  <c:v>139922.52300673528</c:v>
                </c:pt>
                <c:pt idx="62">
                  <c:v>141641.56398693623</c:v>
                </c:pt>
                <c:pt idx="63">
                  <c:v>143408.24830966018</c:v>
                </c:pt>
                <c:pt idx="64">
                  <c:v>145161.89777336488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21B-458C-BA0A-C55F0C2EDAC6}"/>
            </c:ext>
          </c:extLst>
        </c:ser>
        <c:ser>
          <c:idx val="7"/>
          <c:order val="15"/>
          <c:tx>
            <c:v>H=7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EDisponible!$BF$20:$BF$84</c:f>
              <c:numCache>
                <c:formatCode>General</c:formatCode>
                <c:ptCount val="65"/>
                <c:pt idx="0">
                  <c:v>96127.523830610546</c:v>
                </c:pt>
                <c:pt idx="1">
                  <c:v>94647.17889857688</c:v>
                </c:pt>
                <c:pt idx="2">
                  <c:v>93356.784181137176</c:v>
                </c:pt>
                <c:pt idx="3">
                  <c:v>92217.194016871043</c:v>
                </c:pt>
                <c:pt idx="4">
                  <c:v>91202.68339200347</c:v>
                </c:pt>
                <c:pt idx="5">
                  <c:v>90295.219788021801</c:v>
                </c:pt>
                <c:pt idx="6">
                  <c:v>89481.549433684137</c:v>
                </c:pt>
                <c:pt idx="7">
                  <c:v>88751.5715157331</c:v>
                </c:pt>
                <c:pt idx="8">
                  <c:v>88097.36555815232</c:v>
                </c:pt>
                <c:pt idx="9">
                  <c:v>87512.576907651601</c:v>
                </c:pt>
                <c:pt idx="10">
                  <c:v>86992.010999327948</c:v>
                </c:pt>
                <c:pt idx="11">
                  <c:v>86531.355560697208</c:v>
                </c:pt>
                <c:pt idx="12">
                  <c:v>86126.984517968202</c:v>
                </c:pt>
                <c:pt idx="13">
                  <c:v>85775.815924920462</c:v>
                </c:pt>
                <c:pt idx="14">
                  <c:v>85475.206691032101</c:v>
                </c:pt>
                <c:pt idx="15">
                  <c:v>85222.873030687013</c:v>
                </c:pt>
                <c:pt idx="16">
                  <c:v>85016.829299970108</c:v>
                </c:pt>
                <c:pt idx="17">
                  <c:v>84855.340242475781</c:v>
                </c:pt>
                <c:pt idx="18">
                  <c:v>84736.88318804992</c:v>
                </c:pt>
                <c:pt idx="19">
                  <c:v>84660.117757138243</c:v>
                </c:pt>
                <c:pt idx="20">
                  <c:v>84623.861306572406</c:v>
                </c:pt>
                <c:pt idx="21">
                  <c:v>84627.068824460483</c:v>
                </c:pt>
                <c:pt idx="22">
                  <c:v>84668.816313572737</c:v>
                </c:pt>
                <c:pt idx="23">
                  <c:v>84748.286939623998</c:v>
                </c:pt>
                <c:pt idx="24">
                  <c:v>84864.759392703956</c:v>
                </c:pt>
                <c:pt idx="25">
                  <c:v>85017.598036398427</c:v>
                </c:pt>
                <c:pt idx="26">
                  <c:v>85206.244513121346</c:v>
                </c:pt>
                <c:pt idx="27">
                  <c:v>85430.210544902046</c:v>
                </c:pt>
                <c:pt idx="28">
                  <c:v>85689.071722674431</c:v>
                </c:pt>
                <c:pt idx="29">
                  <c:v>85982.462118444513</c:v>
                </c:pt>
                <c:pt idx="30">
                  <c:v>86310.0695867498</c:v>
                </c:pt>
                <c:pt idx="31">
                  <c:v>86671.631646880065</c:v>
                </c:pt>
                <c:pt idx="32">
                  <c:v>87066.93185707365</c:v>
                </c:pt>
                <c:pt idx="33">
                  <c:v>87495.796607585813</c:v>
                </c:pt>
                <c:pt idx="34">
                  <c:v>87958.092272066919</c:v>
                </c:pt>
                <c:pt idx="35">
                  <c:v>88453.722666785528</c:v>
                </c:pt>
                <c:pt idx="36">
                  <c:v>88982.626775411714</c:v>
                </c:pt>
                <c:pt idx="37">
                  <c:v>89544.776703741794</c:v>
                </c:pt>
                <c:pt idx="38">
                  <c:v>90140.175834210604</c:v>
                </c:pt>
                <c:pt idx="39">
                  <c:v>90768.857154537283</c:v>
                </c:pt>
                <c:pt idx="40">
                  <c:v>91430.881738578595</c:v>
                </c:pt>
                <c:pt idx="41">
                  <c:v>92126.337360565711</c:v>
                </c:pt>
                <c:pt idx="42">
                  <c:v>92855.337226490956</c:v>
                </c:pt>
                <c:pt idx="43">
                  <c:v>93618.018808588953</c:v>
                </c:pt>
                <c:pt idx="44">
                  <c:v>94414.542770687869</c:v>
                </c:pt>
                <c:pt idx="45">
                  <c:v>95245.091973762086</c:v>
                </c:pt>
                <c:pt idx="46">
                  <c:v>96109.870552333101</c:v>
                </c:pt>
                <c:pt idx="47">
                  <c:v>97009.103053489351</c:v>
                </c:pt>
                <c:pt idx="48">
                  <c:v>97943.033631259706</c:v>
                </c:pt>
                <c:pt idx="49">
                  <c:v>98911.925289896302</c:v>
                </c:pt>
                <c:pt idx="50">
                  <c:v>99916.059170334993</c:v>
                </c:pt>
                <c:pt idx="51">
                  <c:v>100955.73387471512</c:v>
                </c:pt>
                <c:pt idx="52">
                  <c:v>102031.26482436834</c:v>
                </c:pt>
                <c:pt idx="53">
                  <c:v>103142.98364715031</c:v>
                </c:pt>
                <c:pt idx="54">
                  <c:v>104291.23759038826</c:v>
                </c:pt>
                <c:pt idx="55">
                  <c:v>105476.3889560674</c:v>
                </c:pt>
                <c:pt idx="56">
                  <c:v>106698.81455518684</c:v>
                </c:pt>
                <c:pt idx="57">
                  <c:v>107958.90517848244</c:v>
                </c:pt>
                <c:pt idx="58">
                  <c:v>109257.06508094979</c:v>
                </c:pt>
                <c:pt idx="59">
                  <c:v>110593.71147780943</c:v>
                </c:pt>
                <c:pt idx="60">
                  <c:v>111969.274049738</c:v>
                </c:pt>
                <c:pt idx="61">
                  <c:v>113384.19445535092</c:v>
                </c:pt>
                <c:pt idx="62">
                  <c:v>114838.92584906587</c:v>
                </c:pt>
                <c:pt idx="63">
                  <c:v>116333.93240260218</c:v>
                </c:pt>
                <c:pt idx="64">
                  <c:v>117869.68882848472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21B-458C-BA0A-C55F0C2E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55520"/>
        <c:axId val="2134857696"/>
      </c:scatterChart>
      <c:valAx>
        <c:axId val="2134855520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Speed(m/s)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7696"/>
        <c:crosses val="autoZero"/>
        <c:crossBetween val="midCat"/>
        <c:majorUnit val="10"/>
      </c:valAx>
      <c:valAx>
        <c:axId val="2134857696"/>
        <c:scaling>
          <c:orientation val="minMax"/>
          <c:max val="4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Vsmax MTOW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425893437343554E-2"/>
                  <c:y val="-9.515091863517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'Altura-Vs'!$B$8:$B$15</c:f>
              <c:numCache>
                <c:formatCode>General</c:formatCode>
                <c:ptCount val="8"/>
                <c:pt idx="0">
                  <c:v>17</c:v>
                </c:pt>
                <c:pt idx="1">
                  <c:v>15.3</c:v>
                </c:pt>
                <c:pt idx="2">
                  <c:v>13.3</c:v>
                </c:pt>
                <c:pt idx="3">
                  <c:v>10.4</c:v>
                </c:pt>
                <c:pt idx="4">
                  <c:v>7</c:v>
                </c:pt>
                <c:pt idx="5">
                  <c:v>3.8</c:v>
                </c:pt>
                <c:pt idx="6">
                  <c:v>1</c:v>
                </c:pt>
                <c:pt idx="7">
                  <c:v>-2</c:v>
                </c:pt>
              </c:numCache>
            </c:numRef>
          </c:xVal>
          <c:yVal>
            <c:numRef>
              <c:f>'Altura-Vs'!$A$8:$A$15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C-447E-9C9B-565C41B8FEF0}"/>
            </c:ext>
          </c:extLst>
        </c:ser>
        <c:ser>
          <c:idx val="1"/>
          <c:order val="1"/>
          <c:tx>
            <c:v>Vsmax 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573026390345292E-2"/>
                  <c:y val="1.6608340624088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'Altura-Vs'!$C$8:$C$15</c:f>
              <c:numCache>
                <c:formatCode>General</c:formatCode>
                <c:ptCount val="8"/>
                <c:pt idx="0">
                  <c:v>20</c:v>
                </c:pt>
                <c:pt idx="1">
                  <c:v>17.8</c:v>
                </c:pt>
                <c:pt idx="2">
                  <c:v>15.9</c:v>
                </c:pt>
                <c:pt idx="3">
                  <c:v>12.5</c:v>
                </c:pt>
                <c:pt idx="4">
                  <c:v>8.6999999999999993</c:v>
                </c:pt>
                <c:pt idx="5">
                  <c:v>5.2</c:v>
                </c:pt>
                <c:pt idx="6">
                  <c:v>2.4</c:v>
                </c:pt>
                <c:pt idx="7">
                  <c:v>-0.43</c:v>
                </c:pt>
              </c:numCache>
            </c:numRef>
          </c:xVal>
          <c:yVal>
            <c:numRef>
              <c:f>'Altura-Vs'!$A$8:$A$15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C-447E-9C9B-565C41B8FEF0}"/>
            </c:ext>
          </c:extLst>
        </c:ser>
        <c:ser>
          <c:idx val="2"/>
          <c:order val="2"/>
          <c:tx>
            <c:v>Vsmax 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09459612601083E-2"/>
                  <c:y val="-0.14112659790251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'Altura-Vs'!$D$8:$D$15</c:f>
              <c:numCache>
                <c:formatCode>General</c:formatCode>
                <c:ptCount val="8"/>
                <c:pt idx="0">
                  <c:v>24.5</c:v>
                </c:pt>
                <c:pt idx="1">
                  <c:v>22.3</c:v>
                </c:pt>
                <c:pt idx="2">
                  <c:v>19.8</c:v>
                </c:pt>
                <c:pt idx="3">
                  <c:v>15.7</c:v>
                </c:pt>
                <c:pt idx="4">
                  <c:v>11.5</c:v>
                </c:pt>
                <c:pt idx="5">
                  <c:v>7.83</c:v>
                </c:pt>
                <c:pt idx="6">
                  <c:v>4.5</c:v>
                </c:pt>
                <c:pt idx="7">
                  <c:v>1.5</c:v>
                </c:pt>
              </c:numCache>
            </c:numRef>
          </c:xVal>
          <c:yVal>
            <c:numRef>
              <c:f>'Altura-Vs'!$A$8:$A$15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BC-447E-9C9B-565C41B8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53888"/>
        <c:axId val="2134856064"/>
      </c:scatterChart>
      <c:valAx>
        <c:axId val="2134853888"/>
        <c:scaling>
          <c:orientation val="minMax"/>
          <c:max val="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6064"/>
        <c:crosses val="autoZero"/>
        <c:crossBetween val="midCat"/>
      </c:valAx>
      <c:valAx>
        <c:axId val="2134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7197703228258E-2"/>
          <c:y val="4.6858359957401494E-2"/>
          <c:w val="0.80651712653565366"/>
          <c:h val="0.82788793573327291"/>
        </c:manualLayout>
      </c:layout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'Tiempo de subida mínimo'!$C$10:$C$17</c:f>
              <c:numCache>
                <c:formatCode>General</c:formatCode>
                <c:ptCount val="8"/>
                <c:pt idx="0">
                  <c:v>0</c:v>
                </c:pt>
                <c:pt idx="1">
                  <c:v>1.7984245979846809</c:v>
                </c:pt>
                <c:pt idx="2">
                  <c:v>4.4272662713317477</c:v>
                </c:pt>
                <c:pt idx="3">
                  <c:v>9.4166118162210548</c:v>
                </c:pt>
                <c:pt idx="4">
                  <c:v>21.182446509680094</c:v>
                </c:pt>
                <c:pt idx="5">
                  <c:v>57.693031443865635</c:v>
                </c:pt>
                <c:pt idx="6">
                  <c:v>340.53427608467979</c:v>
                </c:pt>
                <c:pt idx="7">
                  <c:v>1000</c:v>
                </c:pt>
              </c:numCache>
            </c:numRef>
          </c:xVal>
          <c:yVal>
            <c:numRef>
              <c:f>'Tiempo de subida mínimo'!$A$10:$A$17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2-474D-A25D-5B26C09742C7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'Tiempo de subida mínimo'!$C$21:$C$28</c:f>
              <c:numCache>
                <c:formatCode>General</c:formatCode>
                <c:ptCount val="8"/>
                <c:pt idx="0">
                  <c:v>0</c:v>
                </c:pt>
                <c:pt idx="1">
                  <c:v>1.5155263466163043</c:v>
                </c:pt>
                <c:pt idx="2">
                  <c:v>3.7033107804221546</c:v>
                </c:pt>
                <c:pt idx="3">
                  <c:v>7.8346210310959172</c:v>
                </c:pt>
                <c:pt idx="4">
                  <c:v>17.043347766409273</c:v>
                </c:pt>
                <c:pt idx="5">
                  <c:v>42.160292208978731</c:v>
                </c:pt>
                <c:pt idx="6">
                  <c:v>141.88928170194993</c:v>
                </c:pt>
                <c:pt idx="7">
                  <c:v>1000</c:v>
                </c:pt>
              </c:numCache>
            </c:numRef>
          </c:xVal>
          <c:yVal>
            <c:numRef>
              <c:f>'Tiempo de subida mínimo'!$A$21:$A$28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2-474D-A25D-5B26C09742C7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'Tiempo de subida mínimo'!$C$32:$C$39</c:f>
              <c:numCache>
                <c:formatCode>General</c:formatCode>
                <c:ptCount val="8"/>
                <c:pt idx="0">
                  <c:v>0</c:v>
                </c:pt>
                <c:pt idx="1">
                  <c:v>1.2097026443843144</c:v>
                </c:pt>
                <c:pt idx="2">
                  <c:v>2.9738707782177909</c:v>
                </c:pt>
                <c:pt idx="3">
                  <c:v>6.2377555980063031</c:v>
                </c:pt>
                <c:pt idx="4">
                  <c:v>12.893663092848753</c:v>
                </c:pt>
                <c:pt idx="5">
                  <c:v>27.999172348236197</c:v>
                </c:pt>
                <c:pt idx="6">
                  <c:v>75.674283574373291</c:v>
                </c:pt>
                <c:pt idx="7">
                  <c:v>500</c:v>
                </c:pt>
              </c:numCache>
            </c:numRef>
          </c:xVal>
          <c:yVal>
            <c:numRef>
              <c:f>'Tiempo de subida mínimo'!$A$32:$A$39</c:f>
              <c:numCache>
                <c:formatCode>General</c:formatCode>
                <c:ptCount val="8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92-474D-A25D-5B26C097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65856"/>
        <c:axId val="2134854432"/>
      </c:scatterChart>
      <c:valAx>
        <c:axId val="2134865856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4432"/>
        <c:crosses val="autoZero"/>
        <c:crossBetween val="midCat"/>
      </c:valAx>
      <c:valAx>
        <c:axId val="2134854432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Height(m)</a:t>
                </a:r>
              </a:p>
            </c:rich>
          </c:tx>
          <c:layout>
            <c:manualLayout>
              <c:xMode val="edge"/>
              <c:yMode val="edge"/>
              <c:x val="0"/>
              <c:y val="0.43772495419204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5856"/>
        <c:crosses val="autoZero"/>
        <c:crossBetween val="midCat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sz="1800" b="0" i="0" u="none" strike="noStrike" baseline="0"/>
          </a:p>
          <a:p>
            <a:pPr>
              <a:defRPr/>
            </a:pPr>
            <a:r>
              <a:rPr lang="es-ES" sz="1800" b="0" i="0" u="none" strike="noStrike" baseline="0"/>
              <a:t>Radios de giro vs velocidad a nivel del mar 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n=1,2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horizontal'!$B$5:$B$69</c:f>
              <c:numCache>
                <c:formatCode>General</c:formatCode>
                <c:ptCount val="65"/>
                <c:pt idx="0">
                  <c:v>6.1470202768147533E-2</c:v>
                </c:pt>
                <c:pt idx="1">
                  <c:v>9.6047191825230513E-2</c:v>
                </c:pt>
                <c:pt idx="2">
                  <c:v>0.13830795622833195</c:v>
                </c:pt>
                <c:pt idx="3">
                  <c:v>0.18825249597745181</c:v>
                </c:pt>
                <c:pt idx="4">
                  <c:v>0.24588081107259013</c:v>
                </c:pt>
                <c:pt idx="5">
                  <c:v>0.31119290151374684</c:v>
                </c:pt>
                <c:pt idx="6">
                  <c:v>0.38418876730092205</c:v>
                </c:pt>
                <c:pt idx="7">
                  <c:v>0.4648684084341157</c:v>
                </c:pt>
                <c:pt idx="8">
                  <c:v>0.55323182491332779</c:v>
                </c:pt>
                <c:pt idx="9">
                  <c:v>0.64927901673855837</c:v>
                </c:pt>
                <c:pt idx="10">
                  <c:v>0.75300998390980722</c:v>
                </c:pt>
                <c:pt idx="11">
                  <c:v>0.86442472642707457</c:v>
                </c:pt>
                <c:pt idx="12">
                  <c:v>0.98352324429036053</c:v>
                </c:pt>
                <c:pt idx="13">
                  <c:v>1.1103055374996649</c:v>
                </c:pt>
                <c:pt idx="14">
                  <c:v>1.2447716060549874</c:v>
                </c:pt>
                <c:pt idx="15">
                  <c:v>1.3869214499563287</c:v>
                </c:pt>
                <c:pt idx="16">
                  <c:v>1.5367550692036882</c:v>
                </c:pt>
                <c:pt idx="17">
                  <c:v>1.6942724637970663</c:v>
                </c:pt>
                <c:pt idx="18">
                  <c:v>1.8594736337364628</c:v>
                </c:pt>
                <c:pt idx="19">
                  <c:v>2.0323585790218779</c:v>
                </c:pt>
                <c:pt idx="20">
                  <c:v>2.2129272996533111</c:v>
                </c:pt>
                <c:pt idx="21">
                  <c:v>2.401179795630763</c:v>
                </c:pt>
                <c:pt idx="22">
                  <c:v>2.5971160669542335</c:v>
                </c:pt>
                <c:pt idx="23">
                  <c:v>2.8007361136237221</c:v>
                </c:pt>
                <c:pt idx="24">
                  <c:v>3.0120399356392289</c:v>
                </c:pt>
                <c:pt idx="25">
                  <c:v>3.2310275330007543</c:v>
                </c:pt>
                <c:pt idx="26">
                  <c:v>3.4576989057082983</c:v>
                </c:pt>
                <c:pt idx="27">
                  <c:v>3.6920540537618609</c:v>
                </c:pt>
                <c:pt idx="28">
                  <c:v>3.9340929771614421</c:v>
                </c:pt>
                <c:pt idx="29">
                  <c:v>4.1838156759070406</c:v>
                </c:pt>
                <c:pt idx="30">
                  <c:v>4.4412221499986595</c:v>
                </c:pt>
                <c:pt idx="31">
                  <c:v>4.7063123994362952</c:v>
                </c:pt>
                <c:pt idx="32">
                  <c:v>4.9790864242199495</c:v>
                </c:pt>
                <c:pt idx="33">
                  <c:v>5.2595442243496224</c:v>
                </c:pt>
                <c:pt idx="34">
                  <c:v>5.5476857998253148</c:v>
                </c:pt>
                <c:pt idx="35">
                  <c:v>5.8435111506470241</c:v>
                </c:pt>
                <c:pt idx="36">
                  <c:v>6.1470202768147528</c:v>
                </c:pt>
                <c:pt idx="37">
                  <c:v>6.4582131783284993</c:v>
                </c:pt>
                <c:pt idx="38">
                  <c:v>6.7770898551882652</c:v>
                </c:pt>
                <c:pt idx="39">
                  <c:v>7.1036503073940489</c:v>
                </c:pt>
                <c:pt idx="40">
                  <c:v>7.4378945349458512</c:v>
                </c:pt>
                <c:pt idx="41">
                  <c:v>7.7798225378436721</c:v>
                </c:pt>
                <c:pt idx="42">
                  <c:v>8.1294343160875115</c:v>
                </c:pt>
                <c:pt idx="43">
                  <c:v>8.4867298696773688</c:v>
                </c:pt>
                <c:pt idx="44">
                  <c:v>8.8517091986132446</c:v>
                </c:pt>
                <c:pt idx="45">
                  <c:v>9.224372302895139</c:v>
                </c:pt>
                <c:pt idx="46">
                  <c:v>9.604719182523052</c:v>
                </c:pt>
                <c:pt idx="47">
                  <c:v>9.9927498374969819</c:v>
                </c:pt>
                <c:pt idx="48">
                  <c:v>10.388464267816934</c:v>
                </c:pt>
                <c:pt idx="49">
                  <c:v>10.791862473482901</c:v>
                </c:pt>
                <c:pt idx="50">
                  <c:v>11.202944454494888</c:v>
                </c:pt>
                <c:pt idx="51">
                  <c:v>11.621710210852893</c:v>
                </c:pt>
                <c:pt idx="52">
                  <c:v>12.048159742556916</c:v>
                </c:pt>
                <c:pt idx="53">
                  <c:v>12.482293049606957</c:v>
                </c:pt>
                <c:pt idx="54">
                  <c:v>12.924110132003017</c:v>
                </c:pt>
                <c:pt idx="55">
                  <c:v>13.373610989745098</c:v>
                </c:pt>
                <c:pt idx="56">
                  <c:v>13.830795622833193</c:v>
                </c:pt>
                <c:pt idx="57">
                  <c:v>14.295664031267311</c:v>
                </c:pt>
                <c:pt idx="58">
                  <c:v>14.768216215047444</c:v>
                </c:pt>
                <c:pt idx="59">
                  <c:v>15.248452174173595</c:v>
                </c:pt>
                <c:pt idx="60">
                  <c:v>15.736371908645769</c:v>
                </c:pt>
                <c:pt idx="61">
                  <c:v>16.231975418463957</c:v>
                </c:pt>
                <c:pt idx="62">
                  <c:v>16.735262703628162</c:v>
                </c:pt>
                <c:pt idx="63">
                  <c:v>17.246233764138388</c:v>
                </c:pt>
                <c:pt idx="64">
                  <c:v>17.764888599994638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4-4E2B-AD63-B7BAB2059C63}"/>
            </c:ext>
          </c:extLst>
        </c:ser>
        <c:ser>
          <c:idx val="1"/>
          <c:order val="1"/>
          <c:tx>
            <c:v>n=1,5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horizontal'!$C$5:$C$69</c:f>
              <c:numCache>
                <c:formatCode>General</c:formatCode>
                <c:ptCount val="65"/>
                <c:pt idx="0">
                  <c:v>3.6470017981647944E-2</c:v>
                </c:pt>
                <c:pt idx="1">
                  <c:v>5.6984403096324909E-2</c:v>
                </c:pt>
                <c:pt idx="2">
                  <c:v>8.2057540458707862E-2</c:v>
                </c:pt>
                <c:pt idx="3">
                  <c:v>0.11168943006879682</c:v>
                </c:pt>
                <c:pt idx="4">
                  <c:v>0.14588007192659178</c:v>
                </c:pt>
                <c:pt idx="5">
                  <c:v>0.18462946603209271</c:v>
                </c:pt>
                <c:pt idx="6">
                  <c:v>0.22793761238529964</c:v>
                </c:pt>
                <c:pt idx="7">
                  <c:v>0.27580451098621256</c:v>
                </c:pt>
                <c:pt idx="8">
                  <c:v>0.32823016183483145</c:v>
                </c:pt>
                <c:pt idx="9">
                  <c:v>0.38521456493115636</c:v>
                </c:pt>
                <c:pt idx="10">
                  <c:v>0.44675772027518729</c:v>
                </c:pt>
                <c:pt idx="11">
                  <c:v>0.51285962786692418</c:v>
                </c:pt>
                <c:pt idx="12">
                  <c:v>0.5835202877063671</c:v>
                </c:pt>
                <c:pt idx="13">
                  <c:v>0.65873969979351588</c:v>
                </c:pt>
                <c:pt idx="14">
                  <c:v>0.73851786412837084</c:v>
                </c:pt>
                <c:pt idx="15">
                  <c:v>0.82285478071093165</c:v>
                </c:pt>
                <c:pt idx="16">
                  <c:v>0.91175044954119855</c:v>
                </c:pt>
                <c:pt idx="17">
                  <c:v>1.0052048706191714</c:v>
                </c:pt>
                <c:pt idx="18">
                  <c:v>1.1032180439448502</c:v>
                </c:pt>
                <c:pt idx="19">
                  <c:v>1.205789969518235</c:v>
                </c:pt>
                <c:pt idx="20">
                  <c:v>1.3129206473393258</c:v>
                </c:pt>
                <c:pt idx="21">
                  <c:v>1.424610077408123</c:v>
                </c:pt>
                <c:pt idx="22">
                  <c:v>1.5408582597246254</c:v>
                </c:pt>
                <c:pt idx="23">
                  <c:v>1.6616651942888343</c:v>
                </c:pt>
                <c:pt idx="24">
                  <c:v>1.7870308811007491</c:v>
                </c:pt>
                <c:pt idx="25">
                  <c:v>1.91695532016037</c:v>
                </c:pt>
                <c:pt idx="26">
                  <c:v>2.0514385114676967</c:v>
                </c:pt>
                <c:pt idx="27">
                  <c:v>2.1904804550227297</c:v>
                </c:pt>
                <c:pt idx="28">
                  <c:v>2.3340811508254684</c:v>
                </c:pt>
                <c:pt idx="29">
                  <c:v>2.4822405988759129</c:v>
                </c:pt>
                <c:pt idx="30">
                  <c:v>2.6349587991740635</c:v>
                </c:pt>
                <c:pt idx="31">
                  <c:v>2.7922357517199208</c:v>
                </c:pt>
                <c:pt idx="32">
                  <c:v>2.9540714565134834</c:v>
                </c:pt>
                <c:pt idx="33">
                  <c:v>3.1204659135547521</c:v>
                </c:pt>
                <c:pt idx="34">
                  <c:v>3.2914191228437266</c:v>
                </c:pt>
                <c:pt idx="35">
                  <c:v>3.4669310843804073</c:v>
                </c:pt>
                <c:pt idx="36">
                  <c:v>3.6470017981647942</c:v>
                </c:pt>
                <c:pt idx="37">
                  <c:v>3.8316312641968873</c:v>
                </c:pt>
                <c:pt idx="38">
                  <c:v>4.0208194824766856</c:v>
                </c:pt>
                <c:pt idx="39">
                  <c:v>4.2145664530041902</c:v>
                </c:pt>
                <c:pt idx="40">
                  <c:v>4.4128721757794009</c:v>
                </c:pt>
                <c:pt idx="41">
                  <c:v>4.6157366508023179</c:v>
                </c:pt>
                <c:pt idx="42">
                  <c:v>4.8231598780729401</c:v>
                </c:pt>
                <c:pt idx="43">
                  <c:v>5.0351418575912694</c:v>
                </c:pt>
                <c:pt idx="44">
                  <c:v>5.2516825893573031</c:v>
                </c:pt>
                <c:pt idx="45">
                  <c:v>5.4727820733710439</c:v>
                </c:pt>
                <c:pt idx="46">
                  <c:v>5.6984403096324918</c:v>
                </c:pt>
                <c:pt idx="47">
                  <c:v>5.9286572981416441</c:v>
                </c:pt>
                <c:pt idx="48">
                  <c:v>6.1634330388985017</c:v>
                </c:pt>
                <c:pt idx="49">
                  <c:v>6.4027675319030672</c:v>
                </c:pt>
                <c:pt idx="50">
                  <c:v>6.6466607771553372</c:v>
                </c:pt>
                <c:pt idx="51">
                  <c:v>6.8951127746553142</c:v>
                </c:pt>
                <c:pt idx="52">
                  <c:v>7.1481235244029966</c:v>
                </c:pt>
                <c:pt idx="53">
                  <c:v>7.4056930263983851</c:v>
                </c:pt>
                <c:pt idx="54">
                  <c:v>7.6678212806414798</c:v>
                </c:pt>
                <c:pt idx="55">
                  <c:v>7.9345082871322807</c:v>
                </c:pt>
                <c:pt idx="56">
                  <c:v>8.2057540458707869</c:v>
                </c:pt>
                <c:pt idx="57">
                  <c:v>8.4815585568569993</c:v>
                </c:pt>
                <c:pt idx="58">
                  <c:v>8.7619218200909188</c:v>
                </c:pt>
                <c:pt idx="59">
                  <c:v>9.0468438355725436</c:v>
                </c:pt>
                <c:pt idx="60">
                  <c:v>9.3363246033018736</c:v>
                </c:pt>
                <c:pt idx="61">
                  <c:v>9.6303641232789108</c:v>
                </c:pt>
                <c:pt idx="62">
                  <c:v>9.9289623955036515</c:v>
                </c:pt>
                <c:pt idx="63">
                  <c:v>10.232119419976101</c:v>
                </c:pt>
                <c:pt idx="64">
                  <c:v>10.539835196696254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4-4E2B-AD63-B7BAB2059C63}"/>
            </c:ext>
          </c:extLst>
        </c:ser>
        <c:ser>
          <c:idx val="2"/>
          <c:order val="2"/>
          <c:tx>
            <c:v>n=2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horizontal'!$D$5:$D$69</c:f>
              <c:numCache>
                <c:formatCode>General</c:formatCode>
                <c:ptCount val="65"/>
                <c:pt idx="0">
                  <c:v>2.3541295379801257E-2</c:v>
                </c:pt>
                <c:pt idx="1">
                  <c:v>3.6783274030939457E-2</c:v>
                </c:pt>
                <c:pt idx="2">
                  <c:v>5.2967914604552822E-2</c:v>
                </c:pt>
                <c:pt idx="3">
                  <c:v>7.2095217100641346E-2</c:v>
                </c:pt>
                <c:pt idx="4">
                  <c:v>9.4165181519205027E-2</c:v>
                </c:pt>
                <c:pt idx="5">
                  <c:v>0.11917780786024386</c:v>
                </c:pt>
                <c:pt idx="6">
                  <c:v>0.14713309612375783</c:v>
                </c:pt>
                <c:pt idx="7">
                  <c:v>0.17803104630974698</c:v>
                </c:pt>
                <c:pt idx="8">
                  <c:v>0.21187165841821129</c:v>
                </c:pt>
                <c:pt idx="9">
                  <c:v>0.24865493244915077</c:v>
                </c:pt>
                <c:pt idx="10">
                  <c:v>0.28838086840256538</c:v>
                </c:pt>
                <c:pt idx="11">
                  <c:v>0.33104946627845516</c:v>
                </c:pt>
                <c:pt idx="12">
                  <c:v>0.37666072607682011</c:v>
                </c:pt>
                <c:pt idx="13">
                  <c:v>0.42521464779766016</c:v>
                </c:pt>
                <c:pt idx="14">
                  <c:v>0.47671123144097544</c:v>
                </c:pt>
                <c:pt idx="15">
                  <c:v>0.53115047700676588</c:v>
                </c:pt>
                <c:pt idx="16">
                  <c:v>0.58853238449503131</c:v>
                </c:pt>
                <c:pt idx="17">
                  <c:v>0.64885695390577214</c:v>
                </c:pt>
                <c:pt idx="18">
                  <c:v>0.71212418523898791</c:v>
                </c:pt>
                <c:pt idx="19">
                  <c:v>0.77833407849467906</c:v>
                </c:pt>
                <c:pt idx="20">
                  <c:v>0.84748663367284516</c:v>
                </c:pt>
                <c:pt idx="21">
                  <c:v>0.91958185077348653</c:v>
                </c:pt>
                <c:pt idx="22">
                  <c:v>0.99461972979660307</c:v>
                </c:pt>
                <c:pt idx="23">
                  <c:v>1.0726002707421947</c:v>
                </c:pt>
                <c:pt idx="24">
                  <c:v>1.1535234736102615</c:v>
                </c:pt>
                <c:pt idx="25">
                  <c:v>1.2373893384008037</c:v>
                </c:pt>
                <c:pt idx="26">
                  <c:v>1.3241978651138206</c:v>
                </c:pt>
                <c:pt idx="27">
                  <c:v>1.4139490537493129</c:v>
                </c:pt>
                <c:pt idx="28">
                  <c:v>1.5066429043072804</c:v>
                </c:pt>
                <c:pt idx="29">
                  <c:v>1.602279416787723</c:v>
                </c:pt>
                <c:pt idx="30">
                  <c:v>1.7008585911906406</c:v>
                </c:pt>
                <c:pt idx="31">
                  <c:v>1.8023804275160338</c:v>
                </c:pt>
                <c:pt idx="32">
                  <c:v>1.9068449257639017</c:v>
                </c:pt>
                <c:pt idx="33">
                  <c:v>2.014252085934245</c:v>
                </c:pt>
                <c:pt idx="34">
                  <c:v>2.1246019080270635</c:v>
                </c:pt>
                <c:pt idx="35">
                  <c:v>2.2378943920423566</c:v>
                </c:pt>
                <c:pt idx="36">
                  <c:v>2.3541295379801253</c:v>
                </c:pt>
                <c:pt idx="37">
                  <c:v>2.4733073458403698</c:v>
                </c:pt>
                <c:pt idx="38">
                  <c:v>2.5954278156230886</c:v>
                </c:pt>
                <c:pt idx="39">
                  <c:v>2.7204909473282828</c:v>
                </c:pt>
                <c:pt idx="40">
                  <c:v>2.8484967409559516</c:v>
                </c:pt>
                <c:pt idx="41">
                  <c:v>2.9794451965060964</c:v>
                </c:pt>
                <c:pt idx="42">
                  <c:v>3.1133363139787162</c:v>
                </c:pt>
                <c:pt idx="43">
                  <c:v>3.2501700933738107</c:v>
                </c:pt>
                <c:pt idx="44">
                  <c:v>3.3899465346913806</c:v>
                </c:pt>
                <c:pt idx="45">
                  <c:v>3.5326656379314261</c:v>
                </c:pt>
                <c:pt idx="46">
                  <c:v>3.6783274030939461</c:v>
                </c:pt>
                <c:pt idx="47">
                  <c:v>3.8269318301789417</c:v>
                </c:pt>
                <c:pt idx="48">
                  <c:v>3.9784789191864123</c:v>
                </c:pt>
                <c:pt idx="49">
                  <c:v>4.1329686701163579</c:v>
                </c:pt>
                <c:pt idx="50">
                  <c:v>4.2904010829687786</c:v>
                </c:pt>
                <c:pt idx="51">
                  <c:v>4.4507761577436753</c:v>
                </c:pt>
                <c:pt idx="52">
                  <c:v>4.6140938944410461</c:v>
                </c:pt>
                <c:pt idx="53">
                  <c:v>4.7803542930608929</c:v>
                </c:pt>
                <c:pt idx="54">
                  <c:v>4.9495573536032147</c:v>
                </c:pt>
                <c:pt idx="55">
                  <c:v>5.1217030760680107</c:v>
                </c:pt>
                <c:pt idx="56">
                  <c:v>5.2967914604552826</c:v>
                </c:pt>
                <c:pt idx="57">
                  <c:v>5.4748225067650296</c:v>
                </c:pt>
                <c:pt idx="58">
                  <c:v>5.6557962149972516</c:v>
                </c:pt>
                <c:pt idx="59">
                  <c:v>5.8397125851519487</c:v>
                </c:pt>
                <c:pt idx="60">
                  <c:v>6.0265716172291217</c:v>
                </c:pt>
                <c:pt idx="61">
                  <c:v>6.2163733112287689</c:v>
                </c:pt>
                <c:pt idx="62">
                  <c:v>6.409117667150892</c:v>
                </c:pt>
                <c:pt idx="63">
                  <c:v>6.6048046849954902</c:v>
                </c:pt>
                <c:pt idx="64">
                  <c:v>6.8034343647625626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4-4E2B-AD63-B7BAB2059C63}"/>
            </c:ext>
          </c:extLst>
        </c:ser>
        <c:ser>
          <c:idx val="3"/>
          <c:order val="3"/>
          <c:tx>
            <c:v>n=2,5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horizontal'!$E$5:$E$69</c:f>
              <c:numCache>
                <c:formatCode>General</c:formatCode>
                <c:ptCount val="65"/>
                <c:pt idx="0">
                  <c:v>1.7795546604362271E-2</c:v>
                </c:pt>
                <c:pt idx="1">
                  <c:v>2.7805541569316052E-2</c:v>
                </c:pt>
                <c:pt idx="2">
                  <c:v>4.0039979859815111E-2</c:v>
                </c:pt>
                <c:pt idx="3">
                  <c:v>5.4498861475859466E-2</c:v>
                </c:pt>
                <c:pt idx="4">
                  <c:v>7.1182186417449084E-2</c:v>
                </c:pt>
                <c:pt idx="5">
                  <c:v>9.0089954684584E-2</c:v>
                </c:pt>
                <c:pt idx="6">
                  <c:v>0.11122216627726421</c:v>
                </c:pt>
                <c:pt idx="7">
                  <c:v>0.1345788211954897</c:v>
                </c:pt>
                <c:pt idx="8">
                  <c:v>0.16015991943926045</c:v>
                </c:pt>
                <c:pt idx="9">
                  <c:v>0.18796546100857653</c:v>
                </c:pt>
                <c:pt idx="10">
                  <c:v>0.21799544590343786</c:v>
                </c:pt>
                <c:pt idx="11">
                  <c:v>0.25024987412384447</c:v>
                </c:pt>
                <c:pt idx="12">
                  <c:v>0.28472874566979633</c:v>
                </c:pt>
                <c:pt idx="13">
                  <c:v>0.32143206054129353</c:v>
                </c:pt>
                <c:pt idx="14">
                  <c:v>0.360359818738336</c:v>
                </c:pt>
                <c:pt idx="15">
                  <c:v>0.40151202026092381</c:v>
                </c:pt>
                <c:pt idx="16">
                  <c:v>0.44488866510905684</c:v>
                </c:pt>
                <c:pt idx="17">
                  <c:v>0.49048975328273514</c:v>
                </c:pt>
                <c:pt idx="18">
                  <c:v>0.53831528478195878</c:v>
                </c:pt>
                <c:pt idx="19">
                  <c:v>0.5883652596067277</c:v>
                </c:pt>
                <c:pt idx="20">
                  <c:v>0.64063967775704178</c:v>
                </c:pt>
                <c:pt idx="21">
                  <c:v>0.69513853923290125</c:v>
                </c:pt>
                <c:pt idx="22">
                  <c:v>0.75186184403430611</c:v>
                </c:pt>
                <c:pt idx="23">
                  <c:v>0.81080959216125614</c:v>
                </c:pt>
                <c:pt idx="24">
                  <c:v>0.87198178361375145</c:v>
                </c:pt>
                <c:pt idx="25">
                  <c:v>0.93537841839179203</c:v>
                </c:pt>
                <c:pt idx="26">
                  <c:v>1.0009994964953779</c:v>
                </c:pt>
                <c:pt idx="27">
                  <c:v>1.068845017924509</c:v>
                </c:pt>
                <c:pt idx="28">
                  <c:v>1.1389149826791853</c:v>
                </c:pt>
                <c:pt idx="29">
                  <c:v>1.2112093907594073</c:v>
                </c:pt>
                <c:pt idx="30">
                  <c:v>1.2857282421651741</c:v>
                </c:pt>
                <c:pt idx="31">
                  <c:v>1.3624715368964864</c:v>
                </c:pt>
                <c:pt idx="32">
                  <c:v>1.441439274953344</c:v>
                </c:pt>
                <c:pt idx="33">
                  <c:v>1.522631456335747</c:v>
                </c:pt>
                <c:pt idx="34">
                  <c:v>1.6060480810436952</c:v>
                </c:pt>
                <c:pt idx="35">
                  <c:v>1.6916891490771886</c:v>
                </c:pt>
                <c:pt idx="36">
                  <c:v>1.7795546604362273</c:v>
                </c:pt>
                <c:pt idx="37">
                  <c:v>1.8696446151208113</c:v>
                </c:pt>
                <c:pt idx="38">
                  <c:v>1.9619590131309406</c:v>
                </c:pt>
                <c:pt idx="39">
                  <c:v>2.056497854466615</c:v>
                </c:pt>
                <c:pt idx="40">
                  <c:v>2.1532611391278351</c:v>
                </c:pt>
                <c:pt idx="41">
                  <c:v>2.2522488671146004</c:v>
                </c:pt>
                <c:pt idx="42">
                  <c:v>2.3534610384269108</c:v>
                </c:pt>
                <c:pt idx="43">
                  <c:v>2.4568976530647664</c:v>
                </c:pt>
                <c:pt idx="44">
                  <c:v>2.5625587110281671</c:v>
                </c:pt>
                <c:pt idx="45">
                  <c:v>2.6704442123171135</c:v>
                </c:pt>
                <c:pt idx="46">
                  <c:v>2.780554156931605</c:v>
                </c:pt>
                <c:pt idx="47">
                  <c:v>2.8928885448716422</c:v>
                </c:pt>
                <c:pt idx="48">
                  <c:v>3.0074473761372245</c:v>
                </c:pt>
                <c:pt idx="49">
                  <c:v>3.1242306507283515</c:v>
                </c:pt>
                <c:pt idx="50">
                  <c:v>3.2432383686450246</c:v>
                </c:pt>
                <c:pt idx="51">
                  <c:v>3.3644705298872424</c:v>
                </c:pt>
                <c:pt idx="52">
                  <c:v>3.4879271344550058</c:v>
                </c:pt>
                <c:pt idx="53">
                  <c:v>3.6136081823483144</c:v>
                </c:pt>
                <c:pt idx="54">
                  <c:v>3.7415136735671681</c:v>
                </c:pt>
                <c:pt idx="55">
                  <c:v>3.871643608111567</c:v>
                </c:pt>
                <c:pt idx="56">
                  <c:v>4.0039979859815116</c:v>
                </c:pt>
                <c:pt idx="57">
                  <c:v>4.1385768071770013</c:v>
                </c:pt>
                <c:pt idx="58">
                  <c:v>4.2753800716980361</c:v>
                </c:pt>
                <c:pt idx="59">
                  <c:v>4.4144077795446162</c:v>
                </c:pt>
                <c:pt idx="60">
                  <c:v>4.5556599307167414</c:v>
                </c:pt>
                <c:pt idx="61">
                  <c:v>4.6991365252144126</c:v>
                </c:pt>
                <c:pt idx="62">
                  <c:v>4.844837563037629</c:v>
                </c:pt>
                <c:pt idx="63">
                  <c:v>4.9927630441863906</c:v>
                </c:pt>
                <c:pt idx="64">
                  <c:v>5.1429129686606965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4-4E2B-AD63-B7BAB2059C63}"/>
            </c:ext>
          </c:extLst>
        </c:ser>
        <c:ser>
          <c:idx val="4"/>
          <c:order val="4"/>
          <c:tx>
            <c:v>n=3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horizontal'!$F$5:$F$69</c:f>
              <c:numCache>
                <c:formatCode>General</c:formatCode>
                <c:ptCount val="65"/>
                <c:pt idx="0">
                  <c:v>1.4416040391163046E-2</c:v>
                </c:pt>
                <c:pt idx="1">
                  <c:v>2.2525063111192262E-2</c:v>
                </c:pt>
                <c:pt idx="2">
                  <c:v>3.2436090880116848E-2</c:v>
                </c:pt>
                <c:pt idx="3">
                  <c:v>4.4149123697936832E-2</c:v>
                </c:pt>
                <c:pt idx="4">
                  <c:v>5.7664161564652185E-2</c:v>
                </c:pt>
                <c:pt idx="5">
                  <c:v>7.2981204480262921E-2</c:v>
                </c:pt>
                <c:pt idx="6">
                  <c:v>9.0100252444769047E-2</c:v>
                </c:pt>
                <c:pt idx="7">
                  <c:v>0.10902130545817053</c:v>
                </c:pt>
                <c:pt idx="8">
                  <c:v>0.12974436352046739</c:v>
                </c:pt>
                <c:pt idx="9">
                  <c:v>0.15226942663165968</c:v>
                </c:pt>
                <c:pt idx="10">
                  <c:v>0.17659649479174733</c:v>
                </c:pt>
                <c:pt idx="11">
                  <c:v>0.20272556800073033</c:v>
                </c:pt>
                <c:pt idx="12">
                  <c:v>0.23065664625860874</c:v>
                </c:pt>
                <c:pt idx="13">
                  <c:v>0.26038972956538253</c:v>
                </c:pt>
                <c:pt idx="14">
                  <c:v>0.29192481792105168</c:v>
                </c:pt>
                <c:pt idx="15">
                  <c:v>0.32526191132561622</c:v>
                </c:pt>
                <c:pt idx="16">
                  <c:v>0.36040100977907619</c:v>
                </c:pt>
                <c:pt idx="17">
                  <c:v>0.39734211328143149</c:v>
                </c:pt>
                <c:pt idx="18">
                  <c:v>0.43608522183268211</c:v>
                </c:pt>
                <c:pt idx="19">
                  <c:v>0.47663033543282818</c:v>
                </c:pt>
                <c:pt idx="20">
                  <c:v>0.51897745408186957</c:v>
                </c:pt>
                <c:pt idx="21">
                  <c:v>0.56312657777980646</c:v>
                </c:pt>
                <c:pt idx="22">
                  <c:v>0.60907770652663873</c:v>
                </c:pt>
                <c:pt idx="23">
                  <c:v>0.65683084032236627</c:v>
                </c:pt>
                <c:pt idx="24">
                  <c:v>0.70638597916698931</c:v>
                </c:pt>
                <c:pt idx="25">
                  <c:v>0.75774312306050762</c:v>
                </c:pt>
                <c:pt idx="26">
                  <c:v>0.81090227200292131</c:v>
                </c:pt>
                <c:pt idx="27">
                  <c:v>0.86586342599423038</c:v>
                </c:pt>
                <c:pt idx="28">
                  <c:v>0.92262658503443495</c:v>
                </c:pt>
                <c:pt idx="29">
                  <c:v>0.9811917491235348</c:v>
                </c:pt>
                <c:pt idx="30">
                  <c:v>1.0415589182615301</c:v>
                </c:pt>
                <c:pt idx="31">
                  <c:v>1.1037280924484207</c:v>
                </c:pt>
                <c:pt idx="32">
                  <c:v>1.1676992716842067</c:v>
                </c:pt>
                <c:pt idx="33">
                  <c:v>1.2334724559688883</c:v>
                </c:pt>
                <c:pt idx="34">
                  <c:v>1.3010476453024649</c:v>
                </c:pt>
                <c:pt idx="35">
                  <c:v>1.370424839684937</c:v>
                </c:pt>
                <c:pt idx="36">
                  <c:v>1.4416040391163047</c:v>
                </c:pt>
                <c:pt idx="37">
                  <c:v>1.5145852435965677</c:v>
                </c:pt>
                <c:pt idx="38">
                  <c:v>1.5893684531257259</c:v>
                </c:pt>
                <c:pt idx="39">
                  <c:v>1.6659536677037796</c:v>
                </c:pt>
                <c:pt idx="40">
                  <c:v>1.7443408873307285</c:v>
                </c:pt>
                <c:pt idx="41">
                  <c:v>1.8245301120065731</c:v>
                </c:pt>
                <c:pt idx="42">
                  <c:v>1.9065213417313127</c:v>
                </c:pt>
                <c:pt idx="43">
                  <c:v>1.9903145765049481</c:v>
                </c:pt>
                <c:pt idx="44">
                  <c:v>2.0759098163274783</c:v>
                </c:pt>
                <c:pt idx="45">
                  <c:v>2.1633070611989047</c:v>
                </c:pt>
                <c:pt idx="46">
                  <c:v>2.2525063111192258</c:v>
                </c:pt>
                <c:pt idx="47">
                  <c:v>2.3435075660884426</c:v>
                </c:pt>
                <c:pt idx="48">
                  <c:v>2.4363108261065549</c:v>
                </c:pt>
                <c:pt idx="49">
                  <c:v>2.530916091173562</c:v>
                </c:pt>
                <c:pt idx="50">
                  <c:v>2.6273233612894651</c:v>
                </c:pt>
                <c:pt idx="51">
                  <c:v>2.7255326364542634</c:v>
                </c:pt>
                <c:pt idx="52">
                  <c:v>2.8255439166679572</c:v>
                </c:pt>
                <c:pt idx="53">
                  <c:v>2.9273572019305463</c:v>
                </c:pt>
                <c:pt idx="54">
                  <c:v>3.0309724922420305</c:v>
                </c:pt>
                <c:pt idx="55">
                  <c:v>3.1363897876024103</c:v>
                </c:pt>
                <c:pt idx="56">
                  <c:v>3.2436090880116852</c:v>
                </c:pt>
                <c:pt idx="57">
                  <c:v>3.3526303934698558</c:v>
                </c:pt>
                <c:pt idx="58">
                  <c:v>3.4634537039769215</c:v>
                </c:pt>
                <c:pt idx="59">
                  <c:v>3.5760790195328833</c:v>
                </c:pt>
                <c:pt idx="60">
                  <c:v>3.6905063401377398</c:v>
                </c:pt>
                <c:pt idx="61">
                  <c:v>3.8067356657914919</c:v>
                </c:pt>
                <c:pt idx="62">
                  <c:v>3.9247669964941392</c:v>
                </c:pt>
                <c:pt idx="63">
                  <c:v>4.0446003322456825</c:v>
                </c:pt>
                <c:pt idx="64">
                  <c:v>4.1662356730461205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74-4E2B-AD63-B7BAB205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6287"/>
        <c:axId val="140229615"/>
      </c:scatterChart>
      <c:valAx>
        <c:axId val="14022628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29615"/>
        <c:crosses val="autoZero"/>
        <c:crossBetween val="midCat"/>
      </c:valAx>
      <c:valAx>
        <c:axId val="14022961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2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sz="1800" b="0" i="0" u="none" strike="noStrike" baseline="0"/>
          </a:p>
          <a:p>
            <a:pPr>
              <a:defRPr/>
            </a:pPr>
            <a:r>
              <a:rPr lang="es-ES" sz="1800" b="0" i="0" u="none" strike="noStrike" baseline="0"/>
              <a:t>Velocidad de giro vs velocidad a nivel del mar </a:t>
            </a:r>
            <a:endParaRPr lang="es-ES"/>
          </a:p>
        </c:rich>
      </c:tx>
      <c:layout>
        <c:manualLayout>
          <c:xMode val="edge"/>
          <c:yMode val="edge"/>
          <c:x val="0.25879918003056696"/>
          <c:y val="1.9178085639464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n=1,2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horizontal'!$H$5:$H$69</c:f>
              <c:numCache>
                <c:formatCode>General</c:formatCode>
                <c:ptCount val="65"/>
                <c:pt idx="0">
                  <c:v>18.641805926422521</c:v>
                </c:pt>
                <c:pt idx="1">
                  <c:v>14.913444741138013</c:v>
                </c:pt>
                <c:pt idx="2">
                  <c:v>12.427870617615012</c:v>
                </c:pt>
                <c:pt idx="3">
                  <c:v>10.652460529384296</c:v>
                </c:pt>
                <c:pt idx="4">
                  <c:v>9.3209029632112603</c:v>
                </c:pt>
                <c:pt idx="5">
                  <c:v>8.2852470784100074</c:v>
                </c:pt>
                <c:pt idx="6">
                  <c:v>7.4567223705690067</c:v>
                </c:pt>
                <c:pt idx="7">
                  <c:v>6.7788385186990983</c:v>
                </c:pt>
                <c:pt idx="8">
                  <c:v>6.213935308807506</c:v>
                </c:pt>
                <c:pt idx="9">
                  <c:v>5.7359402850530827</c:v>
                </c:pt>
                <c:pt idx="10">
                  <c:v>5.326230264692148</c:v>
                </c:pt>
                <c:pt idx="11">
                  <c:v>4.9711482470460053</c:v>
                </c:pt>
                <c:pt idx="12">
                  <c:v>4.6604514816056302</c:v>
                </c:pt>
                <c:pt idx="13">
                  <c:v>4.3863072768052991</c:v>
                </c:pt>
                <c:pt idx="14">
                  <c:v>4.1426235392050037</c:v>
                </c:pt>
                <c:pt idx="15">
                  <c:v>3.9245907213521094</c:v>
                </c:pt>
                <c:pt idx="16">
                  <c:v>3.7283611852845033</c:v>
                </c:pt>
                <c:pt idx="17">
                  <c:v>3.550820176461432</c:v>
                </c:pt>
                <c:pt idx="18">
                  <c:v>3.3894192593495491</c:v>
                </c:pt>
                <c:pt idx="19">
                  <c:v>3.2420532045952206</c:v>
                </c:pt>
                <c:pt idx="20">
                  <c:v>3.106967654403753</c:v>
                </c:pt>
                <c:pt idx="21">
                  <c:v>2.9826889482276027</c:v>
                </c:pt>
                <c:pt idx="22">
                  <c:v>2.8679701425265414</c:v>
                </c:pt>
                <c:pt idx="23">
                  <c:v>2.7617490261366693</c:v>
                </c:pt>
                <c:pt idx="24">
                  <c:v>2.663115132346074</c:v>
                </c:pt>
                <c:pt idx="25">
                  <c:v>2.5712835760582782</c:v>
                </c:pt>
                <c:pt idx="26">
                  <c:v>2.4855741235230027</c:v>
                </c:pt>
                <c:pt idx="27">
                  <c:v>2.4053943130867768</c:v>
                </c:pt>
                <c:pt idx="28">
                  <c:v>2.3302257408028151</c:v>
                </c:pt>
                <c:pt idx="29">
                  <c:v>2.2596128395663659</c:v>
                </c:pt>
                <c:pt idx="30">
                  <c:v>2.1931536384026495</c:v>
                </c:pt>
                <c:pt idx="31">
                  <c:v>2.1304921058768596</c:v>
                </c:pt>
                <c:pt idx="32">
                  <c:v>2.0713117696025019</c:v>
                </c:pt>
                <c:pt idx="33">
                  <c:v>2.0153303704240559</c:v>
                </c:pt>
                <c:pt idx="34">
                  <c:v>1.9622953606760547</c:v>
                </c:pt>
                <c:pt idx="35">
                  <c:v>1.9119800950176939</c:v>
                </c:pt>
                <c:pt idx="36">
                  <c:v>1.8641805926422517</c:v>
                </c:pt>
                <c:pt idx="37">
                  <c:v>1.8187127733095139</c:v>
                </c:pt>
                <c:pt idx="38">
                  <c:v>1.775410088230716</c:v>
                </c:pt>
                <c:pt idx="39">
                  <c:v>1.7341214815276762</c:v>
                </c:pt>
                <c:pt idx="40">
                  <c:v>1.6947096296747746</c:v>
                </c:pt>
                <c:pt idx="41">
                  <c:v>1.6570494156820017</c:v>
                </c:pt>
                <c:pt idx="42">
                  <c:v>1.6210266022976103</c:v>
                </c:pt>
                <c:pt idx="43">
                  <c:v>1.5865366745891505</c:v>
                </c:pt>
                <c:pt idx="44">
                  <c:v>1.5534838272018765</c:v>
                </c:pt>
                <c:pt idx="45">
                  <c:v>1.521780075626328</c:v>
                </c:pt>
                <c:pt idx="46">
                  <c:v>1.4913444741138013</c:v>
                </c:pt>
                <c:pt idx="47">
                  <c:v>1.4621024256017661</c:v>
                </c:pt>
                <c:pt idx="48">
                  <c:v>1.4339850712632707</c:v>
                </c:pt>
                <c:pt idx="49">
                  <c:v>1.4069287491639635</c:v>
                </c:pt>
                <c:pt idx="50">
                  <c:v>1.3808745130683346</c:v>
                </c:pt>
                <c:pt idx="51">
                  <c:v>1.3557677037398195</c:v>
                </c:pt>
                <c:pt idx="52">
                  <c:v>1.331557566173037</c:v>
                </c:pt>
                <c:pt idx="53">
                  <c:v>1.3081969071173696</c:v>
                </c:pt>
                <c:pt idx="54">
                  <c:v>1.2856417880291391</c:v>
                </c:pt>
                <c:pt idx="55">
                  <c:v>1.2638512492489842</c:v>
                </c:pt>
                <c:pt idx="56">
                  <c:v>1.2427870617615013</c:v>
                </c:pt>
                <c:pt idx="57">
                  <c:v>1.2224135033719683</c:v>
                </c:pt>
                <c:pt idx="58">
                  <c:v>1.2026971565433884</c:v>
                </c:pt>
                <c:pt idx="59">
                  <c:v>1.1836067254871441</c:v>
                </c:pt>
                <c:pt idx="60">
                  <c:v>1.1651128704014075</c:v>
                </c:pt>
                <c:pt idx="61">
                  <c:v>1.1471880570106165</c:v>
                </c:pt>
                <c:pt idx="62">
                  <c:v>1.129806419783183</c:v>
                </c:pt>
                <c:pt idx="63">
                  <c:v>1.1129436373983594</c:v>
                </c:pt>
                <c:pt idx="64">
                  <c:v>1.0965768192013248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5-4229-A9D7-6A9A7EC9B7B0}"/>
            </c:ext>
          </c:extLst>
        </c:ser>
        <c:ser>
          <c:idx val="1"/>
          <c:order val="1"/>
          <c:tx>
            <c:v>n=1,5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horizontal'!$I$5:$I$69</c:f>
              <c:numCache>
                <c:formatCode>General</c:formatCode>
                <c:ptCount val="65"/>
                <c:pt idx="0">
                  <c:v>31.420757479151284</c:v>
                </c:pt>
                <c:pt idx="1">
                  <c:v>25.136605983321029</c:v>
                </c:pt>
                <c:pt idx="2">
                  <c:v>20.947171652767523</c:v>
                </c:pt>
                <c:pt idx="3">
                  <c:v>17.954718559515019</c:v>
                </c:pt>
                <c:pt idx="4">
                  <c:v>15.710378739575642</c:v>
                </c:pt>
                <c:pt idx="5">
                  <c:v>13.964781101845016</c:v>
                </c:pt>
                <c:pt idx="6">
                  <c:v>12.568302991660515</c:v>
                </c:pt>
                <c:pt idx="7">
                  <c:v>11.425729992418649</c:v>
                </c:pt>
                <c:pt idx="8">
                  <c:v>10.473585826383761</c:v>
                </c:pt>
                <c:pt idx="9">
                  <c:v>9.6679253782003958</c:v>
                </c:pt>
                <c:pt idx="10">
                  <c:v>8.9773592797575095</c:v>
                </c:pt>
                <c:pt idx="11">
                  <c:v>8.378868661107008</c:v>
                </c:pt>
                <c:pt idx="12">
                  <c:v>7.855189369787821</c:v>
                </c:pt>
                <c:pt idx="13">
                  <c:v>7.3931194068591264</c:v>
                </c:pt>
                <c:pt idx="14">
                  <c:v>6.9823905509225082</c:v>
                </c:pt>
                <c:pt idx="15">
                  <c:v>6.6148963114002708</c:v>
                </c:pt>
                <c:pt idx="16">
                  <c:v>6.2841514958302573</c:v>
                </c:pt>
                <c:pt idx="17">
                  <c:v>5.9849061865050066</c:v>
                </c:pt>
                <c:pt idx="18">
                  <c:v>5.7128649962093245</c:v>
                </c:pt>
                <c:pt idx="19">
                  <c:v>5.4644795615915278</c:v>
                </c:pt>
                <c:pt idx="20">
                  <c:v>5.2367929131918807</c:v>
                </c:pt>
                <c:pt idx="21">
                  <c:v>5.0273211966642055</c:v>
                </c:pt>
                <c:pt idx="22">
                  <c:v>4.8339626891001979</c:v>
                </c:pt>
                <c:pt idx="23">
                  <c:v>4.6549270339483391</c:v>
                </c:pt>
                <c:pt idx="24">
                  <c:v>4.4886796398787547</c:v>
                </c:pt>
                <c:pt idx="25">
                  <c:v>4.3338975833312121</c:v>
                </c:pt>
                <c:pt idx="26">
                  <c:v>4.189434330553504</c:v>
                </c:pt>
                <c:pt idx="27">
                  <c:v>4.0542912876324246</c:v>
                </c:pt>
                <c:pt idx="28">
                  <c:v>3.9275946848939105</c:v>
                </c:pt>
                <c:pt idx="29">
                  <c:v>3.8085766641395495</c:v>
                </c:pt>
                <c:pt idx="30">
                  <c:v>3.6965597034295632</c:v>
                </c:pt>
                <c:pt idx="31">
                  <c:v>3.5909437119030043</c:v>
                </c:pt>
                <c:pt idx="32">
                  <c:v>3.4911952754612541</c:v>
                </c:pt>
                <c:pt idx="33">
                  <c:v>3.3968386463947335</c:v>
                </c:pt>
                <c:pt idx="34">
                  <c:v>3.3074481557001354</c:v>
                </c:pt>
                <c:pt idx="35">
                  <c:v>3.2226417927334654</c:v>
                </c:pt>
                <c:pt idx="36">
                  <c:v>3.1420757479151287</c:v>
                </c:pt>
                <c:pt idx="37">
                  <c:v>3.0654397540635401</c:v>
                </c:pt>
                <c:pt idx="38">
                  <c:v>2.9924530932525033</c:v>
                </c:pt>
                <c:pt idx="39">
                  <c:v>2.9228611608512827</c:v>
                </c:pt>
                <c:pt idx="40">
                  <c:v>2.8564324981046623</c:v>
                </c:pt>
                <c:pt idx="41">
                  <c:v>2.7929562203690033</c:v>
                </c:pt>
                <c:pt idx="42">
                  <c:v>2.7322397807957639</c:v>
                </c:pt>
                <c:pt idx="43">
                  <c:v>2.6741070195022369</c:v>
                </c:pt>
                <c:pt idx="44">
                  <c:v>2.6183964565959403</c:v>
                </c:pt>
                <c:pt idx="45">
                  <c:v>2.5649597942164317</c:v>
                </c:pt>
                <c:pt idx="46">
                  <c:v>2.5136605983321028</c:v>
                </c:pt>
                <c:pt idx="47">
                  <c:v>2.4643731356197085</c:v>
                </c:pt>
                <c:pt idx="48">
                  <c:v>2.4169813445500989</c:v>
                </c:pt>
                <c:pt idx="49">
                  <c:v>2.3713779229548138</c:v>
                </c:pt>
                <c:pt idx="50">
                  <c:v>2.3274635169741695</c:v>
                </c:pt>
                <c:pt idx="51">
                  <c:v>2.2851459984837299</c:v>
                </c:pt>
                <c:pt idx="52">
                  <c:v>2.2443398199393774</c:v>
                </c:pt>
                <c:pt idx="53">
                  <c:v>2.2049654371334237</c:v>
                </c:pt>
                <c:pt idx="54">
                  <c:v>2.1669487916656061</c:v>
                </c:pt>
                <c:pt idx="55">
                  <c:v>2.1302208460441547</c:v>
                </c:pt>
                <c:pt idx="56">
                  <c:v>2.094717165276752</c:v>
                </c:pt>
                <c:pt idx="57">
                  <c:v>2.0603775396164781</c:v>
                </c:pt>
                <c:pt idx="58">
                  <c:v>2.0271456438162123</c:v>
                </c:pt>
                <c:pt idx="59">
                  <c:v>1.9949687288350024</c:v>
                </c:pt>
                <c:pt idx="60">
                  <c:v>1.9637973424469553</c:v>
                </c:pt>
                <c:pt idx="61">
                  <c:v>1.9335850756400792</c:v>
                </c:pt>
                <c:pt idx="62">
                  <c:v>1.9042883320697748</c:v>
                </c:pt>
                <c:pt idx="63">
                  <c:v>1.8758661181582856</c:v>
                </c:pt>
                <c:pt idx="64">
                  <c:v>1.8482798517147816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15-4229-A9D7-6A9A7EC9B7B0}"/>
            </c:ext>
          </c:extLst>
        </c:ser>
        <c:ser>
          <c:idx val="2"/>
          <c:order val="2"/>
          <c:tx>
            <c:v>n=2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horizontal'!$J$5:$J$69</c:f>
              <c:numCache>
                <c:formatCode>General</c:formatCode>
                <c:ptCount val="65"/>
                <c:pt idx="0">
                  <c:v>48.676828176790018</c:v>
                </c:pt>
                <c:pt idx="1">
                  <c:v>38.94146254143201</c:v>
                </c:pt>
                <c:pt idx="2">
                  <c:v>32.451218784526681</c:v>
                </c:pt>
                <c:pt idx="3">
                  <c:v>27.815330386737152</c:v>
                </c:pt>
                <c:pt idx="4">
                  <c:v>24.338414088395009</c:v>
                </c:pt>
                <c:pt idx="5">
                  <c:v>21.634145856351118</c:v>
                </c:pt>
                <c:pt idx="6">
                  <c:v>19.470731270716005</c:v>
                </c:pt>
                <c:pt idx="7">
                  <c:v>17.700664791560008</c:v>
                </c:pt>
                <c:pt idx="8">
                  <c:v>16.22560939226334</c:v>
                </c:pt>
                <c:pt idx="9">
                  <c:v>14.977485592858466</c:v>
                </c:pt>
                <c:pt idx="10">
                  <c:v>13.907665193368576</c:v>
                </c:pt>
                <c:pt idx="11">
                  <c:v>12.980487513810672</c:v>
                </c:pt>
                <c:pt idx="12">
                  <c:v>12.169207044197504</c:v>
                </c:pt>
                <c:pt idx="13">
                  <c:v>11.453371335715298</c:v>
                </c:pt>
                <c:pt idx="14">
                  <c:v>10.817072928175559</c:v>
                </c:pt>
                <c:pt idx="15">
                  <c:v>10.247753300376846</c:v>
                </c:pt>
                <c:pt idx="16">
                  <c:v>9.7353656353580025</c:v>
                </c:pt>
                <c:pt idx="17">
                  <c:v>9.2717767955790524</c:v>
                </c:pt>
                <c:pt idx="18">
                  <c:v>8.8503323957800042</c:v>
                </c:pt>
                <c:pt idx="19">
                  <c:v>8.4655353350939162</c:v>
                </c:pt>
                <c:pt idx="20">
                  <c:v>8.1128046961316702</c:v>
                </c:pt>
                <c:pt idx="21">
                  <c:v>7.7882925082864034</c:v>
                </c:pt>
                <c:pt idx="22">
                  <c:v>7.488742796429233</c:v>
                </c:pt>
                <c:pt idx="23">
                  <c:v>7.2113819521170406</c:v>
                </c:pt>
                <c:pt idx="24">
                  <c:v>6.953832596684288</c:v>
                </c:pt>
                <c:pt idx="25">
                  <c:v>6.714045265764141</c:v>
                </c:pt>
                <c:pt idx="26">
                  <c:v>6.4902437569053362</c:v>
                </c:pt>
                <c:pt idx="27">
                  <c:v>6.2808810550696794</c:v>
                </c:pt>
                <c:pt idx="28">
                  <c:v>6.0846035220987522</c:v>
                </c:pt>
                <c:pt idx="29">
                  <c:v>5.9002215971866692</c:v>
                </c:pt>
                <c:pt idx="30">
                  <c:v>5.726685667857649</c:v>
                </c:pt>
                <c:pt idx="31">
                  <c:v>5.5630660773474307</c:v>
                </c:pt>
                <c:pt idx="32">
                  <c:v>5.4085364640877795</c:v>
                </c:pt>
                <c:pt idx="33">
                  <c:v>5.262359802896218</c:v>
                </c:pt>
                <c:pt idx="34">
                  <c:v>5.1238766501884232</c:v>
                </c:pt>
                <c:pt idx="35">
                  <c:v>4.9924951976194896</c:v>
                </c:pt>
                <c:pt idx="36">
                  <c:v>4.8676828176790012</c:v>
                </c:pt>
                <c:pt idx="37">
                  <c:v>4.7489588465160999</c:v>
                </c:pt>
                <c:pt idx="38">
                  <c:v>4.6358883977895262</c:v>
                </c:pt>
                <c:pt idx="39">
                  <c:v>4.5280770397013974</c:v>
                </c:pt>
                <c:pt idx="40">
                  <c:v>4.4251661978900021</c:v>
                </c:pt>
                <c:pt idx="41">
                  <c:v>4.3268291712702238</c:v>
                </c:pt>
                <c:pt idx="42">
                  <c:v>4.2327676675469581</c:v>
                </c:pt>
                <c:pt idx="43">
                  <c:v>4.1427087810034058</c:v>
                </c:pt>
                <c:pt idx="44">
                  <c:v>4.0564023480658351</c:v>
                </c:pt>
                <c:pt idx="45">
                  <c:v>3.9736186266767368</c:v>
                </c:pt>
                <c:pt idx="46">
                  <c:v>3.8941462541432017</c:v>
                </c:pt>
                <c:pt idx="47">
                  <c:v>3.8177904452384333</c:v>
                </c:pt>
                <c:pt idx="48">
                  <c:v>3.7443713982146165</c:v>
                </c:pt>
                <c:pt idx="49">
                  <c:v>3.6737228812671714</c:v>
                </c:pt>
                <c:pt idx="50">
                  <c:v>3.6056909760585203</c:v>
                </c:pt>
                <c:pt idx="51">
                  <c:v>3.5401329583120016</c:v>
                </c:pt>
                <c:pt idx="52">
                  <c:v>3.476916298342144</c:v>
                </c:pt>
                <c:pt idx="53">
                  <c:v>3.415917766792282</c:v>
                </c:pt>
                <c:pt idx="54">
                  <c:v>3.3570226328820705</c:v>
                </c:pt>
                <c:pt idx="55">
                  <c:v>3.3001239441891537</c:v>
                </c:pt>
                <c:pt idx="56">
                  <c:v>3.2451218784526681</c:v>
                </c:pt>
                <c:pt idx="57">
                  <c:v>3.1919231591337716</c:v>
                </c:pt>
                <c:pt idx="58">
                  <c:v>3.1404405275348397</c:v>
                </c:pt>
                <c:pt idx="59">
                  <c:v>3.0905922651930169</c:v>
                </c:pt>
                <c:pt idx="60">
                  <c:v>3.0423017610493761</c:v>
                </c:pt>
                <c:pt idx="61">
                  <c:v>2.9954971185716937</c:v>
                </c:pt>
                <c:pt idx="62">
                  <c:v>2.9501107985933346</c:v>
                </c:pt>
                <c:pt idx="63">
                  <c:v>2.9060792941367177</c:v>
                </c:pt>
                <c:pt idx="64">
                  <c:v>2.8633428339288245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15-4229-A9D7-6A9A7EC9B7B0}"/>
            </c:ext>
          </c:extLst>
        </c:ser>
        <c:ser>
          <c:idx val="3"/>
          <c:order val="3"/>
          <c:tx>
            <c:v>n=2,5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horizontal'!$K$5:$K$69</c:f>
              <c:numCache>
                <c:formatCode>General</c:formatCode>
                <c:ptCount val="65"/>
                <c:pt idx="0">
                  <c:v>64.393390983603993</c:v>
                </c:pt>
                <c:pt idx="1">
                  <c:v>51.514712786883209</c:v>
                </c:pt>
                <c:pt idx="2">
                  <c:v>42.928927322402672</c:v>
                </c:pt>
                <c:pt idx="3">
                  <c:v>36.796223419202285</c:v>
                </c:pt>
                <c:pt idx="4">
                  <c:v>32.196695491801997</c:v>
                </c:pt>
                <c:pt idx="5">
                  <c:v>28.619284881601779</c:v>
                </c:pt>
                <c:pt idx="6">
                  <c:v>25.757356393441604</c:v>
                </c:pt>
                <c:pt idx="7">
                  <c:v>23.415778539492365</c:v>
                </c:pt>
                <c:pt idx="8">
                  <c:v>21.464463661201336</c:v>
                </c:pt>
                <c:pt idx="9">
                  <c:v>19.813351071878156</c:v>
                </c:pt>
                <c:pt idx="10">
                  <c:v>18.398111709601142</c:v>
                </c:pt>
                <c:pt idx="11">
                  <c:v>17.171570928961067</c:v>
                </c:pt>
                <c:pt idx="12">
                  <c:v>16.098347745900998</c:v>
                </c:pt>
                <c:pt idx="13">
                  <c:v>15.151386113789178</c:v>
                </c:pt>
                <c:pt idx="14">
                  <c:v>14.309642440800889</c:v>
                </c:pt>
                <c:pt idx="15">
                  <c:v>13.556503364969265</c:v>
                </c:pt>
                <c:pt idx="16">
                  <c:v>12.878678196720802</c:v>
                </c:pt>
                <c:pt idx="17">
                  <c:v>12.265407806400763</c:v>
                </c:pt>
                <c:pt idx="18">
                  <c:v>11.707889269746182</c:v>
                </c:pt>
                <c:pt idx="19">
                  <c:v>11.198850605844175</c:v>
                </c:pt>
                <c:pt idx="20">
                  <c:v>10.732231830600668</c:v>
                </c:pt>
                <c:pt idx="21">
                  <c:v>10.302942557376641</c:v>
                </c:pt>
                <c:pt idx="22">
                  <c:v>9.9066755359390779</c:v>
                </c:pt>
                <c:pt idx="23">
                  <c:v>9.5397616272005923</c:v>
                </c:pt>
                <c:pt idx="24">
                  <c:v>9.1990558548005712</c:v>
                </c:pt>
                <c:pt idx="25">
                  <c:v>8.8818470322212413</c:v>
                </c:pt>
                <c:pt idx="26">
                  <c:v>8.5857854644805336</c:v>
                </c:pt>
                <c:pt idx="27">
                  <c:v>8.3088246430456785</c:v>
                </c:pt>
                <c:pt idx="28">
                  <c:v>8.0491738729504991</c:v>
                </c:pt>
                <c:pt idx="29">
                  <c:v>7.8052595131641214</c:v>
                </c:pt>
                <c:pt idx="30">
                  <c:v>7.5756930568945888</c:v>
                </c:pt>
                <c:pt idx="31">
                  <c:v>7.3592446838404575</c:v>
                </c:pt>
                <c:pt idx="32">
                  <c:v>7.1548212204004447</c:v>
                </c:pt>
                <c:pt idx="33">
                  <c:v>6.9614476739031357</c:v>
                </c:pt>
                <c:pt idx="34">
                  <c:v>6.7782516824846324</c:v>
                </c:pt>
                <c:pt idx="35">
                  <c:v>6.604450357292718</c:v>
                </c:pt>
                <c:pt idx="36">
                  <c:v>6.4393390983604011</c:v>
                </c:pt>
                <c:pt idx="37">
                  <c:v>6.2822820471808791</c:v>
                </c:pt>
                <c:pt idx="38">
                  <c:v>6.1327039032003814</c:v>
                </c:pt>
                <c:pt idx="39">
                  <c:v>5.9900828821957219</c:v>
                </c:pt>
                <c:pt idx="40">
                  <c:v>5.8539446348730912</c:v>
                </c:pt>
                <c:pt idx="41">
                  <c:v>5.7238569763203566</c:v>
                </c:pt>
                <c:pt idx="42">
                  <c:v>5.5994253029220875</c:v>
                </c:pt>
                <c:pt idx="43">
                  <c:v>5.4802885943492772</c:v>
                </c:pt>
                <c:pt idx="44">
                  <c:v>5.3661159153003339</c:v>
                </c:pt>
                <c:pt idx="45">
                  <c:v>5.2566033456003263</c:v>
                </c:pt>
                <c:pt idx="46">
                  <c:v>5.1514712786883203</c:v>
                </c:pt>
                <c:pt idx="47">
                  <c:v>5.0504620379297256</c:v>
                </c:pt>
                <c:pt idx="48">
                  <c:v>4.953337767969539</c:v>
                </c:pt>
                <c:pt idx="49">
                  <c:v>4.8598785648003018</c:v>
                </c:pt>
                <c:pt idx="50">
                  <c:v>4.7698808136002961</c:v>
                </c:pt>
                <c:pt idx="51">
                  <c:v>4.6831557078984734</c:v>
                </c:pt>
                <c:pt idx="52">
                  <c:v>4.5995279274002856</c:v>
                </c:pt>
                <c:pt idx="53">
                  <c:v>4.5188344549897543</c:v>
                </c:pt>
                <c:pt idx="54">
                  <c:v>4.4409235161106206</c:v>
                </c:pt>
                <c:pt idx="55">
                  <c:v>4.3656536260070506</c:v>
                </c:pt>
                <c:pt idx="56">
                  <c:v>4.2928927322402668</c:v>
                </c:pt>
                <c:pt idx="57">
                  <c:v>4.2225174415478044</c:v>
                </c:pt>
                <c:pt idx="58">
                  <c:v>4.1544123215228392</c:v>
                </c:pt>
                <c:pt idx="59">
                  <c:v>4.088469268800254</c:v>
                </c:pt>
                <c:pt idx="60">
                  <c:v>4.0245869364752496</c:v>
                </c:pt>
                <c:pt idx="61">
                  <c:v>3.9626702143756307</c:v>
                </c:pt>
                <c:pt idx="62">
                  <c:v>3.9026297565820607</c:v>
                </c:pt>
                <c:pt idx="63">
                  <c:v>3.8443815512599402</c:v>
                </c:pt>
                <c:pt idx="64">
                  <c:v>3.7878465284472944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E15-4229-A9D7-6A9A7EC9B7B0}"/>
            </c:ext>
          </c:extLst>
        </c:ser>
        <c:ser>
          <c:idx val="4"/>
          <c:order val="4"/>
          <c:tx>
            <c:v>n=3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'Viraje horizontal'!$A$5:$A$69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'Viraje horizontal'!$L$5:$L$69</c:f>
              <c:numCache>
                <c:formatCode>General</c:formatCode>
                <c:ptCount val="65"/>
                <c:pt idx="0">
                  <c:v>79.488927553510905</c:v>
                </c:pt>
                <c:pt idx="1">
                  <c:v>63.591142042808727</c:v>
                </c:pt>
                <c:pt idx="2">
                  <c:v>52.992618369007275</c:v>
                </c:pt>
                <c:pt idx="3">
                  <c:v>45.422244316291952</c:v>
                </c:pt>
                <c:pt idx="4">
                  <c:v>39.744463776755452</c:v>
                </c:pt>
                <c:pt idx="5">
                  <c:v>35.328412246004852</c:v>
                </c:pt>
                <c:pt idx="6">
                  <c:v>31.795571021404363</c:v>
                </c:pt>
                <c:pt idx="7">
                  <c:v>28.905064564913058</c:v>
                </c:pt>
                <c:pt idx="8">
                  <c:v>26.496309184503637</c:v>
                </c:pt>
                <c:pt idx="9">
                  <c:v>24.458131554926435</c:v>
                </c:pt>
                <c:pt idx="10">
                  <c:v>22.711122158145976</c:v>
                </c:pt>
                <c:pt idx="11">
                  <c:v>21.197047347602911</c:v>
                </c:pt>
                <c:pt idx="12">
                  <c:v>19.872231888377726</c:v>
                </c:pt>
                <c:pt idx="13">
                  <c:v>18.70327707141433</c:v>
                </c:pt>
                <c:pt idx="14">
                  <c:v>17.664206123002426</c:v>
                </c:pt>
                <c:pt idx="15">
                  <c:v>16.734511063897035</c:v>
                </c:pt>
                <c:pt idx="16">
                  <c:v>15.897785510702182</c:v>
                </c:pt>
                <c:pt idx="17">
                  <c:v>15.140748105430651</c:v>
                </c:pt>
                <c:pt idx="18">
                  <c:v>14.452532282456529</c:v>
                </c:pt>
                <c:pt idx="19">
                  <c:v>13.824161313654072</c:v>
                </c:pt>
                <c:pt idx="20">
                  <c:v>13.248154592251819</c:v>
                </c:pt>
                <c:pt idx="21">
                  <c:v>12.718228408561746</c:v>
                </c:pt>
                <c:pt idx="22">
                  <c:v>12.229065777463218</c:v>
                </c:pt>
                <c:pt idx="23">
                  <c:v>11.776137415334951</c:v>
                </c:pt>
                <c:pt idx="24">
                  <c:v>11.355561079072988</c:v>
                </c:pt>
                <c:pt idx="25">
                  <c:v>10.963990007380815</c:v>
                </c:pt>
                <c:pt idx="26">
                  <c:v>10.598523673801456</c:v>
                </c:pt>
                <c:pt idx="27">
                  <c:v>10.256635813356247</c:v>
                </c:pt>
                <c:pt idx="28">
                  <c:v>9.9361159441888631</c:v>
                </c:pt>
                <c:pt idx="29">
                  <c:v>9.635021521637686</c:v>
                </c:pt>
                <c:pt idx="30">
                  <c:v>9.3516385357071652</c:v>
                </c:pt>
                <c:pt idx="31">
                  <c:v>9.0844488632583893</c:v>
                </c:pt>
                <c:pt idx="32">
                  <c:v>8.832103061501213</c:v>
                </c:pt>
                <c:pt idx="33">
                  <c:v>8.5933975733525312</c:v>
                </c:pt>
                <c:pt idx="34">
                  <c:v>8.3672555319485173</c:v>
                </c:pt>
                <c:pt idx="35">
                  <c:v>8.1527105183088118</c:v>
                </c:pt>
                <c:pt idx="36">
                  <c:v>7.9488927553510909</c:v>
                </c:pt>
                <c:pt idx="37">
                  <c:v>7.7550173222937477</c:v>
                </c:pt>
                <c:pt idx="38">
                  <c:v>7.5703740527153256</c:v>
                </c:pt>
                <c:pt idx="39">
                  <c:v>7.3943188421870625</c:v>
                </c:pt>
                <c:pt idx="40">
                  <c:v>7.2262661412282645</c:v>
                </c:pt>
                <c:pt idx="41">
                  <c:v>7.0656824492009696</c:v>
                </c:pt>
                <c:pt idx="42">
                  <c:v>6.9120806568270359</c:v>
                </c:pt>
                <c:pt idx="43">
                  <c:v>6.7650151109370986</c:v>
                </c:pt>
                <c:pt idx="44">
                  <c:v>6.6240772961259093</c:v>
                </c:pt>
                <c:pt idx="45">
                  <c:v>6.4888920451845644</c:v>
                </c:pt>
                <c:pt idx="46">
                  <c:v>6.359114204280873</c:v>
                </c:pt>
                <c:pt idx="47">
                  <c:v>6.2344256904714435</c:v>
                </c:pt>
                <c:pt idx="48">
                  <c:v>6.1145328887316088</c:v>
                </c:pt>
                <c:pt idx="49">
                  <c:v>5.9991643436612003</c:v>
                </c:pt>
                <c:pt idx="50">
                  <c:v>5.8880687076674754</c:v>
                </c:pt>
                <c:pt idx="51">
                  <c:v>5.7810129129826118</c:v>
                </c:pt>
                <c:pt idx="52">
                  <c:v>5.677780539536494</c:v>
                </c:pt>
                <c:pt idx="53">
                  <c:v>5.5781703546323449</c:v>
                </c:pt>
                <c:pt idx="54">
                  <c:v>5.4819950036904075</c:v>
                </c:pt>
                <c:pt idx="55">
                  <c:v>5.3890798341363331</c:v>
                </c:pt>
                <c:pt idx="56">
                  <c:v>5.2992618369007278</c:v>
                </c:pt>
                <c:pt idx="57">
                  <c:v>5.2123886920335032</c:v>
                </c:pt>
                <c:pt idx="58">
                  <c:v>5.1283179066781237</c:v>
                </c:pt>
                <c:pt idx="59">
                  <c:v>5.0469160351435498</c:v>
                </c:pt>
                <c:pt idx="60">
                  <c:v>4.9680579720944316</c:v>
                </c:pt>
                <c:pt idx="61">
                  <c:v>4.8916263109852869</c:v>
                </c:pt>
                <c:pt idx="62">
                  <c:v>4.817510760818843</c:v>
                </c:pt>
                <c:pt idx="63">
                  <c:v>4.74560761513498</c:v>
                </c:pt>
                <c:pt idx="64">
                  <c:v>4.6758192678535826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E15-4229-A9D7-6A9A7EC9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2383"/>
        <c:axId val="152562815"/>
      </c:scatterChart>
      <c:valAx>
        <c:axId val="1525723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562815"/>
        <c:crosses val="autoZero"/>
        <c:crossBetween val="midCat"/>
      </c:valAx>
      <c:valAx>
        <c:axId val="15256281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w(º/s)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57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es-ES" sz="1800" b="0" i="0" u="none" strike="noStrike">
                <a:solidFill>
                  <a:srgbClr val="000000"/>
                </a:solidFill>
                <a:latin typeface="Cambria"/>
              </a:rPr>
              <a:t>Endurance</a:t>
            </a:r>
          </a:p>
        </c:rich>
      </c:tx>
      <c:layout>
        <c:manualLayout>
          <c:xMode val="edge"/>
          <c:yMode val="edge"/>
          <c:x val="0.48850458454446677"/>
          <c:y val="3.2886074094137553E-3"/>
          <c:w val="0.23799200000000001"/>
          <c:h val="0.1305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21549"/>
          <c:y val="0.13050100000000001"/>
          <c:w val="0.758081"/>
          <c:h val="0.65850900000000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AutonomiaAlcance!$D$1</c:f>
              <c:strCache>
                <c:ptCount val="1"/>
              </c:strCache>
            </c:strRef>
          </c:tx>
          <c:spPr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xVal>
            <c:numRef>
              <c:f>AutonomiaAlcance!$F$6:$F$9</c:f>
              <c:numCache>
                <c:formatCode>General</c:formatCode>
                <c:ptCount val="4"/>
                <c:pt idx="0">
                  <c:v>0</c:v>
                </c:pt>
                <c:pt idx="1">
                  <c:v>7.8891975268739749</c:v>
                </c:pt>
                <c:pt idx="2">
                  <c:v>47.723768468480436</c:v>
                </c:pt>
                <c:pt idx="3">
                  <c:v>28.261233472155109</c:v>
                </c:pt>
              </c:numCache>
            </c:numRef>
          </c:xVal>
          <c:yVal>
            <c:numRef>
              <c:f>AutonomiaAlcance!$D$6:$D$9</c:f>
              <c:numCache>
                <c:formatCode>General</c:formatCode>
                <c:ptCount val="4"/>
                <c:pt idx="0">
                  <c:v>151962</c:v>
                </c:pt>
                <c:pt idx="1">
                  <c:v>195045</c:v>
                </c:pt>
                <c:pt idx="2">
                  <c:v>195045</c:v>
                </c:pt>
                <c:pt idx="3">
                  <c:v>257095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B-43BF-9348-6BEAD73BCF2B}"/>
            </c:ext>
          </c:extLst>
        </c:ser>
        <c:ser>
          <c:idx val="1"/>
          <c:order val="1"/>
          <c:tx>
            <c:strRef>
              <c:f>AutonomiaAlcance!$G$1</c:f>
              <c:strCache>
                <c:ptCount val="1"/>
              </c:strCache>
            </c:strRef>
          </c:tx>
          <c:spPr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xVal>
            <c:numRef>
              <c:f>AutonomiaAlcance!$F$6:$F$9</c:f>
              <c:numCache>
                <c:formatCode>General</c:formatCode>
                <c:ptCount val="4"/>
                <c:pt idx="0">
                  <c:v>0</c:v>
                </c:pt>
                <c:pt idx="1">
                  <c:v>7.8891975268739749</c:v>
                </c:pt>
                <c:pt idx="2">
                  <c:v>47.723768468480436</c:v>
                </c:pt>
                <c:pt idx="3">
                  <c:v>28.261233472155109</c:v>
                </c:pt>
              </c:numCache>
            </c:numRef>
          </c:xVal>
          <c:yVal>
            <c:numRef>
              <c:f>AutonomiaAlcance!$G$6:$G$9</c:f>
              <c:numCache>
                <c:formatCode>General</c:formatCode>
                <c:ptCount val="4"/>
                <c:pt idx="0">
                  <c:v>151962</c:v>
                </c:pt>
                <c:pt idx="1">
                  <c:v>151962</c:v>
                </c:pt>
                <c:pt idx="2">
                  <c:v>43092</c:v>
                </c:pt>
                <c:pt idx="3">
                  <c:v>105142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B-43BF-9348-6BEAD73B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66944"/>
        <c:axId val="2134862048"/>
      </c:scatterChart>
      <c:valAx>
        <c:axId val="2134866944"/>
        <c:scaling>
          <c:orientation val="minMax"/>
          <c:max val="28"/>
        </c:scaling>
        <c:delete val="0"/>
        <c:axPos val="b"/>
        <c:majorGridlines>
          <c:spPr>
            <a:ln w="9525" cap="flat">
              <a:solidFill>
                <a:srgbClr val="888888"/>
              </a:solidFill>
              <a:prstDash val="solid"/>
              <a:round/>
            </a:ln>
          </c:spPr>
        </c:majorGridlines>
        <c:minorGridlines>
          <c:spPr>
            <a:ln w="9525" cap="flat">
              <a:solidFill>
                <a:srgbClr val="000000"/>
              </a:solidFill>
              <a:prstDash val="solid"/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s-ES" sz="1800" b="0" i="0" u="none" strike="noStrike">
                    <a:solidFill>
                      <a:srgbClr val="000000"/>
                    </a:solidFill>
                    <a:latin typeface="Cambria"/>
                  </a:rPr>
                  <a:t>Tmax (h)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s-ES"/>
          </a:p>
        </c:txPr>
        <c:crossAx val="2134862048"/>
        <c:crosses val="autoZero"/>
        <c:crossBetween val="between"/>
        <c:majorUnit val="7"/>
        <c:minorUnit val="3.5"/>
      </c:valAx>
      <c:valAx>
        <c:axId val="2134862048"/>
        <c:scaling>
          <c:orientation val="minMax"/>
          <c:max val="220000"/>
          <c:min val="8000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s-ES" sz="1800" b="0" i="0" u="none" strike="noStrike">
                    <a:solidFill>
                      <a:srgbClr val="000000"/>
                    </a:solidFill>
                    <a:latin typeface="Cambria"/>
                  </a:rPr>
                  <a:t>Wmax (kg)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s-ES"/>
          </a:p>
        </c:txPr>
        <c:crossAx val="2134866944"/>
        <c:crosses val="autoZero"/>
        <c:crossBetween val="between"/>
        <c:majorUnit val="35000"/>
        <c:minorUnit val="1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WF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AutonomiaAlcance!$K$10:$K$13</c:f>
              <c:numCache>
                <c:formatCode>General</c:formatCode>
                <c:ptCount val="4"/>
                <c:pt idx="0">
                  <c:v>0</c:v>
                </c:pt>
                <c:pt idx="1">
                  <c:v>5640</c:v>
                </c:pt>
                <c:pt idx="2">
                  <c:v>48026</c:v>
                </c:pt>
                <c:pt idx="3">
                  <c:v>19898</c:v>
                </c:pt>
              </c:numCache>
            </c:numRef>
          </c:cat>
          <c:val>
            <c:numRef>
              <c:f>AutonomiaAlcance!$D$6:$D$9</c:f>
              <c:numCache>
                <c:formatCode>General</c:formatCode>
                <c:ptCount val="4"/>
                <c:pt idx="0">
                  <c:v>151962</c:v>
                </c:pt>
                <c:pt idx="1">
                  <c:v>195045</c:v>
                </c:pt>
                <c:pt idx="2">
                  <c:v>195045</c:v>
                </c:pt>
                <c:pt idx="3">
                  <c:v>257095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4-4815-AD38-05934137D6CC}"/>
            </c:ext>
          </c:extLst>
        </c:ser>
        <c:ser>
          <c:idx val="1"/>
          <c:order val="1"/>
          <c:tx>
            <c:v>PL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AutonomiaAlcance!$K$10:$K$13</c:f>
              <c:numCache>
                <c:formatCode>General</c:formatCode>
                <c:ptCount val="4"/>
                <c:pt idx="0">
                  <c:v>0</c:v>
                </c:pt>
                <c:pt idx="1">
                  <c:v>5640</c:v>
                </c:pt>
                <c:pt idx="2">
                  <c:v>48026</c:v>
                </c:pt>
                <c:pt idx="3">
                  <c:v>19898</c:v>
                </c:pt>
              </c:numCache>
            </c:numRef>
          </c:cat>
          <c:val>
            <c:numRef>
              <c:f>AutonomiaAlcance!$G$6:$G$9</c:f>
              <c:numCache>
                <c:formatCode>General</c:formatCode>
                <c:ptCount val="4"/>
                <c:pt idx="0">
                  <c:v>151962</c:v>
                </c:pt>
                <c:pt idx="1">
                  <c:v>151962</c:v>
                </c:pt>
                <c:pt idx="2">
                  <c:v>43092</c:v>
                </c:pt>
                <c:pt idx="3">
                  <c:v>105142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4-4815-AD38-05934137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51712"/>
        <c:axId val="2134863136"/>
      </c:areaChart>
      <c:catAx>
        <c:axId val="2134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63136"/>
        <c:crosses val="autoZero"/>
        <c:auto val="1"/>
        <c:lblAlgn val="ctr"/>
        <c:lblOffset val="100"/>
        <c:noMultiLvlLbl val="0"/>
      </c:catAx>
      <c:valAx>
        <c:axId val="2134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Wmax(kg)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85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EDisponible!$P$20:$P$84</c:f>
              <c:numCache>
                <c:formatCode>General</c:formatCode>
                <c:ptCount val="65"/>
                <c:pt idx="0">
                  <c:v>400275.57966900425</c:v>
                </c:pt>
                <c:pt idx="1">
                  <c:v>394107.52705885581</c:v>
                </c:pt>
                <c:pt idx="2">
                  <c:v>388581.86155327468</c:v>
                </c:pt>
                <c:pt idx="3">
                  <c:v>383549.3063924039</c:v>
                </c:pt>
                <c:pt idx="4">
                  <c:v>378912.14922960958</c:v>
                </c:pt>
                <c:pt idx="5">
                  <c:v>374602.13330298528</c:v>
                </c:pt>
                <c:pt idx="6">
                  <c:v>370569.21778295178</c:v>
                </c:pt>
                <c:pt idx="7">
                  <c:v>366775.31102186791</c:v>
                </c:pt>
                <c:pt idx="8">
                  <c:v>363190.52497582306</c:v>
                </c:pt>
                <c:pt idx="9">
                  <c:v>359790.81135436572</c:v>
                </c:pt>
                <c:pt idx="10">
                  <c:v>356556.40294251841</c:v>
                </c:pt>
                <c:pt idx="11">
                  <c:v>353470.74802251766</c:v>
                </c:pt>
                <c:pt idx="12">
                  <c:v>350519.7594518516</c:v>
                </c:pt>
                <c:pt idx="13">
                  <c:v>347691.27159981907</c:v>
                </c:pt>
                <c:pt idx="14">
                  <c:v>344974.63870980369</c:v>
                </c:pt>
                <c:pt idx="15">
                  <c:v>342360.43197293096</c:v>
                </c:pt>
                <c:pt idx="16">
                  <c:v>339840.20704926195</c:v>
                </c:pt>
                <c:pt idx="17">
                  <c:v>337406.32285816589</c:v>
                </c:pt>
                <c:pt idx="18">
                  <c:v>335051.79833197762</c:v>
                </c:pt>
                <c:pt idx="19">
                  <c:v>332770.19771687372</c:v>
                </c:pt>
                <c:pt idx="20">
                  <c:v>330555.53763834399</c:v>
                </c:pt>
                <c:pt idx="21">
                  <c:v>328402.21096683957</c:v>
                </c:pt>
                <c:pt idx="22">
                  <c:v>326304.92379693151</c:v>
                </c:pt>
                <c:pt idx="23">
                  <c:v>324258.64276581822</c:v>
                </c:pt>
                <c:pt idx="24">
                  <c:v>322258.55059830536</c:v>
                </c:pt>
                <c:pt idx="25">
                  <c:v>320300.00825106644</c:v>
                </c:pt>
                <c:pt idx="26">
                  <c:v>318378.52239014959</c:v>
                </c:pt>
                <c:pt idx="27">
                  <c:v>316489.71720728913</c:v>
                </c:pt>
                <c:pt idx="28">
                  <c:v>314629.30978701601</c:v>
                </c:pt>
                <c:pt idx="29">
                  <c:v>312793.08839496173</c:v>
                </c:pt>
                <c:pt idx="30">
                  <c:v>310976.89318043471</c:v>
                </c:pt>
                <c:pt idx="31">
                  <c:v>309176.59888214694</c:v>
                </c:pt>
                <c:pt idx="32">
                  <c:v>307388.09920137736</c:v>
                </c:pt>
                <c:pt idx="33">
                  <c:v>305607.29256665095</c:v>
                </c:pt>
                <c:pt idx="34">
                  <c:v>303830.06906174886</c:v>
                </c:pt>
                <c:pt idx="35">
                  <c:v>302052.29832722351</c:v>
                </c:pt>
                <c:pt idx="36">
                  <c:v>300269.81827660487</c:v>
                </c:pt>
                <c:pt idx="37">
                  <c:v>298478.42449369858</c:v>
                </c:pt>
                <c:pt idx="38">
                  <c:v>296673.86019798467</c:v>
                </c:pt>
                <c:pt idx="39">
                  <c:v>294851.80668205884</c:v>
                </c:pt>
                <c:pt idx="40">
                  <c:v>293007.87413903838</c:v>
                </c:pt>
                <c:pt idx="41">
                  <c:v>291137.59280943929</c:v>
                </c:pt>
                <c:pt idx="42">
                  <c:v>289236.40438668698</c:v>
                </c:pt>
                <c:pt idx="43">
                  <c:v>287299.65362848435</c:v>
                </c:pt>
                <c:pt idx="44">
                  <c:v>285322.58012803749</c:v>
                </c:pt>
                <c:pt idx="45">
                  <c:v>283300.31020483177</c:v>
                </c:pt>
                <c:pt idx="46">
                  <c:v>281227.84887947468</c:v>
                </c:pt>
                <c:pt idx="47">
                  <c:v>279100.07190119667</c:v>
                </c:pt>
                <c:pt idx="48">
                  <c:v>276911.71780007443</c:v>
                </c:pt>
                <c:pt idx="49">
                  <c:v>274657.37993899314</c:v>
                </c:pt>
                <c:pt idx="50">
                  <c:v>272331.49854289211</c:v>
                </c:pt>
                <c:pt idx="51">
                  <c:v>269928.35268500034</c:v>
                </c:pt>
                <c:pt idx="52">
                  <c:v>267442.05221162044</c:v>
                </c:pt>
                <c:pt idx="53">
                  <c:v>264866.52958861901</c:v>
                </c:pt>
                <c:pt idx="54">
                  <c:v>262195.53165415145</c:v>
                </c:pt>
                <c:pt idx="55">
                  <c:v>259422.61126333397</c:v>
                </c:pt>
                <c:pt idx="56">
                  <c:v>256541.1188115995</c:v>
                </c:pt>
                <c:pt idx="57">
                  <c:v>253544.19362435659</c:v>
                </c:pt>
                <c:pt idx="58">
                  <c:v>250424.75520133469</c:v>
                </c:pt>
                <c:pt idx="59">
                  <c:v>247175.49430466082</c:v>
                </c:pt>
                <c:pt idx="60">
                  <c:v>243788.86388028748</c:v>
                </c:pt>
                <c:pt idx="61">
                  <c:v>240257.0698028811</c:v>
                </c:pt>
                <c:pt idx="62">
                  <c:v>236572.06143471462</c:v>
                </c:pt>
                <c:pt idx="63">
                  <c:v>232725.52198947591</c:v>
                </c:pt>
                <c:pt idx="64">
                  <c:v>228708.8586922203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4-4305-AD8D-81DB74605573}"/>
            </c:ext>
          </c:extLst>
        </c:ser>
        <c:ser>
          <c:idx val="1"/>
          <c:order val="1"/>
          <c:tx>
            <c:v>H=1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EDisponible!$V$20:$V$84</c:f>
              <c:numCache>
                <c:formatCode>General</c:formatCode>
                <c:ptCount val="65"/>
                <c:pt idx="0">
                  <c:v>334236.46517328115</c:v>
                </c:pt>
                <c:pt idx="1">
                  <c:v>329339.72843682423</c:v>
                </c:pt>
                <c:pt idx="2">
                  <c:v>325045.46704388177</c:v>
                </c:pt>
                <c:pt idx="3">
                  <c:v>321226.93330681021</c:v>
                </c:pt>
                <c:pt idx="4">
                  <c:v>317800.95200322341</c:v>
                </c:pt>
                <c:pt idx="5">
                  <c:v>314709.30068997206</c:v>
                </c:pt>
                <c:pt idx="6">
                  <c:v>311909.24120599497</c:v>
                </c:pt>
                <c:pt idx="7">
                  <c:v>309368.23837693606</c:v>
                </c:pt>
                <c:pt idx="8">
                  <c:v>307060.80180438125</c:v>
                </c:pt>
                <c:pt idx="9">
                  <c:v>304966.49141260918</c:v>
                </c:pt>
                <c:pt idx="10">
                  <c:v>303068.60131779587</c:v>
                </c:pt>
                <c:pt idx="11">
                  <c:v>301353.2592546143</c:v>
                </c:pt>
                <c:pt idx="12">
                  <c:v>299808.79130058875</c:v>
                </c:pt>
                <c:pt idx="13">
                  <c:v>298425.26196016144</c:v>
                </c:pt>
                <c:pt idx="14">
                  <c:v>297194.13365650852</c:v>
                </c:pt>
                <c:pt idx="15">
                  <c:v>296108.00965019141</c:v>
                </c:pt>
                <c:pt idx="16">
                  <c:v>295160.4365717147</c:v>
                </c:pt>
                <c:pt idx="17">
                  <c:v>294345.7504059567</c:v>
                </c:pt>
                <c:pt idx="18">
                  <c:v>293658.95471207483</c:v>
                </c:pt>
                <c:pt idx="19">
                  <c:v>293095.62313872651</c:v>
                </c:pt>
                <c:pt idx="20">
                  <c:v>292651.82051278109</c:v>
                </c:pt>
                <c:pt idx="21">
                  <c:v>292324.03831155412</c:v>
                </c:pt>
                <c:pt idx="22">
                  <c:v>292109.14140531869</c:v>
                </c:pt>
                <c:pt idx="23">
                  <c:v>292004.32372599276</c:v>
                </c:pt>
                <c:pt idx="24">
                  <c:v>291595.62480559025</c:v>
                </c:pt>
                <c:pt idx="25">
                  <c:v>290027.42136903282</c:v>
                </c:pt>
                <c:pt idx="26">
                  <c:v>288499.48121639621</c:v>
                </c:pt>
                <c:pt idx="27">
                  <c:v>287008.0270815554</c:v>
                </c:pt>
                <c:pt idx="28">
                  <c:v>285549.36494093604</c:v>
                </c:pt>
                <c:pt idx="29">
                  <c:v>284119.86536267243</c:v>
                </c:pt>
                <c:pt idx="30">
                  <c:v>282715.94689293788</c:v>
                </c:pt>
                <c:pt idx="31">
                  <c:v>281334.0611324808</c:v>
                </c:pt>
                <c:pt idx="32">
                  <c:v>279970.6792199199</c:v>
                </c:pt>
                <c:pt idx="33">
                  <c:v>278622.27948873327</c:v>
                </c:pt>
                <c:pt idx="34">
                  <c:v>277285.33610509167</c:v>
                </c:pt>
                <c:pt idx="35">
                  <c:v>275956.30852601147</c:v>
                </c:pt>
                <c:pt idx="36">
                  <c:v>274631.63164343429</c:v>
                </c:pt>
                <c:pt idx="37">
                  <c:v>273307.7065010877</c:v>
                </c:pt>
                <c:pt idx="38">
                  <c:v>271980.89148835442</c:v>
                </c:pt>
                <c:pt idx="39">
                  <c:v>270647.49392964615</c:v>
                </c:pt>
                <c:pt idx="40">
                  <c:v>269303.76199956052</c:v>
                </c:pt>
                <c:pt idx="41">
                  <c:v>267945.87690387352</c:v>
                </c:pt>
                <c:pt idx="42">
                  <c:v>266569.94527454727</c:v>
                </c:pt>
                <c:pt idx="43">
                  <c:v>265171.99173374608</c:v>
                </c:pt>
                <c:pt idx="44">
                  <c:v>263747.9515875504</c:v>
                </c:pt>
                <c:pt idx="45">
                  <c:v>262293.66361487116</c:v>
                </c:pt>
                <c:pt idx="46">
                  <c:v>260804.86292112892</c:v>
                </c:pt>
                <c:pt idx="47">
                  <c:v>259277.17382969995</c:v>
                </c:pt>
                <c:pt idx="48">
                  <c:v>257706.10278705705</c:v>
                </c:pt>
                <c:pt idx="49">
                  <c:v>256087.03126003058</c:v>
                </c:pt>
                <c:pt idx="50">
                  <c:v>254415.20860573874</c:v>
                </c:pt>
                <c:pt idx="51">
                  <c:v>252685.74489656027</c:v>
                </c:pt>
                <c:pt idx="52">
                  <c:v>250893.60368409174</c:v>
                </c:pt>
                <c:pt idx="53">
                  <c:v>249033.59468736945</c:v>
                </c:pt>
                <c:pt idx="54">
                  <c:v>247100.3663917993</c:v>
                </c:pt>
                <c:pt idx="55">
                  <c:v>245088.39854622984</c:v>
                </c:pt>
                <c:pt idx="56">
                  <c:v>242991.99454647326</c:v>
                </c:pt>
                <c:pt idx="57">
                  <c:v>240805.27369431366</c:v>
                </c:pt>
                <c:pt idx="58">
                  <c:v>238522.16332169148</c:v>
                </c:pt>
                <c:pt idx="59">
                  <c:v>236136.39077031068</c:v>
                </c:pt>
                <c:pt idx="60">
                  <c:v>233641.47521738583</c:v>
                </c:pt>
                <c:pt idx="61">
                  <c:v>231030.71933867698</c:v>
                </c:pt>
                <c:pt idx="62">
                  <c:v>228297.20080030622</c:v>
                </c:pt>
                <c:pt idx="63">
                  <c:v>225433.76357116643</c:v>
                </c:pt>
                <c:pt idx="64">
                  <c:v>222433.00904799977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4-4305-AD8D-81DB74605573}"/>
            </c:ext>
          </c:extLst>
        </c:ser>
        <c:ser>
          <c:idx val="2"/>
          <c:order val="2"/>
          <c:tx>
            <c:v>H=2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EDisponible!$AB$20:$AB$84</c:f>
              <c:numCache>
                <c:formatCode>General</c:formatCode>
                <c:ptCount val="65"/>
                <c:pt idx="0">
                  <c:v>276862.60412427573</c:v>
                </c:pt>
                <c:pt idx="1">
                  <c:v>272775.07142245333</c:v>
                </c:pt>
                <c:pt idx="2">
                  <c:v>269193.45778318925</c:v>
                </c:pt>
                <c:pt idx="3">
                  <c:v>266011.64432018233</c:v>
                </c:pt>
                <c:pt idx="4">
                  <c:v>263159.97879810218</c:v>
                </c:pt>
                <c:pt idx="5">
                  <c:v>260589.69493708402</c:v>
                </c:pt>
                <c:pt idx="6">
                  <c:v>258264.98898923802</c:v>
                </c:pt>
                <c:pt idx="7">
                  <c:v>256158.60003845178</c:v>
                </c:pt>
                <c:pt idx="8">
                  <c:v>254249.16687711369</c:v>
                </c:pt>
                <c:pt idx="9">
                  <c:v>252519.55873164773</c:v>
                </c:pt>
                <c:pt idx="10">
                  <c:v>250955.77363614019</c:v>
                </c:pt>
                <c:pt idx="11">
                  <c:v>249546.18457401154</c:v>
                </c:pt>
                <c:pt idx="12">
                  <c:v>248281.00764869625</c:v>
                </c:pt>
                <c:pt idx="13">
                  <c:v>247151.91702030363</c:v>
                </c:pt>
                <c:pt idx="14">
                  <c:v>246151.75978462372</c:v>
                </c:pt>
                <c:pt idx="15">
                  <c:v>245274.34068283299</c:v>
                </c:pt>
                <c:pt idx="16">
                  <c:v>244514.25671274634</c:v>
                </c:pt>
                <c:pt idx="17">
                  <c:v>243866.76811507836</c:v>
                </c:pt>
                <c:pt idx="18">
                  <c:v>243327.6963469839</c:v>
                </c:pt>
                <c:pt idx="19">
                  <c:v>242893.34239698388</c:v>
                </c:pt>
                <c:pt idx="20">
                  <c:v>242560.42065191231</c:v>
                </c:pt>
                <c:pt idx="21">
                  <c:v>242326.00480857198</c:v>
                </c:pt>
                <c:pt idx="22">
                  <c:v>242187.48322394607</c:v>
                </c:pt>
                <c:pt idx="23">
                  <c:v>242142.52174157125</c:v>
                </c:pt>
                <c:pt idx="24">
                  <c:v>242189.03249833838</c:v>
                </c:pt>
                <c:pt idx="25">
                  <c:v>242325.14755887157</c:v>
                </c:pt>
                <c:pt idx="26">
                  <c:v>242549.19647972318</c:v>
                </c:pt>
                <c:pt idx="27">
                  <c:v>242859.68709754501</c:v>
                </c:pt>
                <c:pt idx="28">
                  <c:v>243255.28898137427</c:v>
                </c:pt>
                <c:pt idx="29">
                  <c:v>243734.81910126211</c:v>
                </c:pt>
                <c:pt idx="30">
                  <c:v>244297.22935235463</c:v>
                </c:pt>
                <c:pt idx="31">
                  <c:v>244941.59564145177</c:v>
                </c:pt>
                <c:pt idx="32">
                  <c:v>245667.10829658582</c:v>
                </c:pt>
                <c:pt idx="33">
                  <c:v>246473.06360264076</c:v>
                </c:pt>
                <c:pt idx="34">
                  <c:v>247358.85630000907</c:v>
                </c:pt>
                <c:pt idx="35">
                  <c:v>248323.97291061073</c:v>
                </c:pt>
                <c:pt idx="36">
                  <c:v>247853.48950802637</c:v>
                </c:pt>
                <c:pt idx="37">
                  <c:v>246913.9909916769</c:v>
                </c:pt>
                <c:pt idx="38">
                  <c:v>245979.33705203244</c:v>
                </c:pt>
                <c:pt idx="39">
                  <c:v>245046.39460820096</c:v>
                </c:pt>
                <c:pt idx="40">
                  <c:v>244111.981760155</c:v>
                </c:pt>
                <c:pt idx="41">
                  <c:v>243172.86091096228</c:v>
                </c:pt>
                <c:pt idx="42">
                  <c:v>242225.73206459556</c:v>
                </c:pt>
                <c:pt idx="43">
                  <c:v>241267.22626109983</c:v>
                </c:pt>
                <c:pt idx="44">
                  <c:v>240293.89911567181</c:v>
                </c:pt>
                <c:pt idx="45">
                  <c:v>239302.2244322428</c:v>
                </c:pt>
                <c:pt idx="46">
                  <c:v>238288.58786555473</c:v>
                </c:pt>
                <c:pt idx="47">
                  <c:v>237249.2806086106</c:v>
                </c:pt>
                <c:pt idx="48">
                  <c:v>236180.49308482822</c:v>
                </c:pt>
                <c:pt idx="49">
                  <c:v>235078.30862631954</c:v>
                </c:pt>
                <c:pt idx="50">
                  <c:v>233938.69712150196</c:v>
                </c:pt>
                <c:pt idx="51">
                  <c:v>232757.50861677658</c:v>
                </c:pt>
                <c:pt idx="52">
                  <c:v>231530.46685831877</c:v>
                </c:pt>
                <c:pt idx="53">
                  <c:v>230253.16276115685</c:v>
                </c:pt>
                <c:pt idx="54">
                  <c:v>228921.04779367952</c:v>
                </c:pt>
                <c:pt idx="55">
                  <c:v>227529.42726655334</c:v>
                </c:pt>
                <c:pt idx="56">
                  <c:v>226073.45351574896</c:v>
                </c:pt>
                <c:pt idx="57">
                  <c:v>224548.11897000103</c:v>
                </c:pt>
                <c:pt idx="58">
                  <c:v>222948.24909356178</c:v>
                </c:pt>
                <c:pt idx="59">
                  <c:v>221268.49519557614</c:v>
                </c:pt>
                <c:pt idx="60">
                  <c:v>219503.32709780298</c:v>
                </c:pt>
                <c:pt idx="61">
                  <c:v>217647.02565276122</c:v>
                </c:pt>
                <c:pt idx="62">
                  <c:v>215693.67510467014</c:v>
                </c:pt>
                <c:pt idx="63">
                  <c:v>213637.15528581769</c:v>
                </c:pt>
                <c:pt idx="64">
                  <c:v>211471.13364120925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4-4305-AD8D-81DB74605573}"/>
            </c:ext>
          </c:extLst>
        </c:ser>
        <c:ser>
          <c:idx val="3"/>
          <c:order val="3"/>
          <c:tx>
            <c:v>H=3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EDisponible!$AH$20:$AH$84</c:f>
              <c:numCache>
                <c:formatCode>General</c:formatCode>
                <c:ptCount val="65"/>
                <c:pt idx="0">
                  <c:v>227745.37994044076</c:v>
                </c:pt>
                <c:pt idx="1">
                  <c:v>224356.24323601104</c:v>
                </c:pt>
                <c:pt idx="2">
                  <c:v>221389.24380271847</c:v>
                </c:pt>
                <c:pt idx="3">
                  <c:v>218756.1133526059</c:v>
                </c:pt>
                <c:pt idx="4">
                  <c:v>216398.90358652564</c:v>
                </c:pt>
                <c:pt idx="5">
                  <c:v>214277.03395216566</c:v>
                </c:pt>
                <c:pt idx="6">
                  <c:v>212360.70461323031</c:v>
                </c:pt>
                <c:pt idx="7">
                  <c:v>210627.22200372737</c:v>
                </c:pt>
                <c:pt idx="8">
                  <c:v>209058.801259806</c:v>
                </c:pt>
                <c:pt idx="9">
                  <c:v>207641.17824193768</c:v>
                </c:pt>
                <c:pt idx="10">
                  <c:v>206362.69347671335</c:v>
                </c:pt>
                <c:pt idx="11">
                  <c:v>205213.66523017568</c:v>
                </c:pt>
                <c:pt idx="12">
                  <c:v>204185.9471823184</c:v>
                </c:pt>
                <c:pt idx="13">
                  <c:v>203272.60813285236</c:v>
                </c:pt>
                <c:pt idx="14">
                  <c:v>202467.69481032461</c:v>
                </c:pt>
                <c:pt idx="15">
                  <c:v>201766.05274977986</c:v>
                </c:pt>
                <c:pt idx="16">
                  <c:v>201163.18866932034</c:v>
                </c:pt>
                <c:pt idx="17">
                  <c:v>200655.16309880713</c:v>
                </c:pt>
                <c:pt idx="18">
                  <c:v>200238.5054548867</c:v>
                </c:pt>
                <c:pt idx="19">
                  <c:v>199910.14603609068</c:v>
                </c:pt>
                <c:pt idx="20">
                  <c:v>199667.36095533319</c:v>
                </c:pt>
                <c:pt idx="21">
                  <c:v>199507.72709308294</c:v>
                </c:pt>
                <c:pt idx="22">
                  <c:v>199429.08490379006</c:v>
                </c:pt>
                <c:pt idx="23">
                  <c:v>199429.50744342734</c:v>
                </c:pt>
                <c:pt idx="24">
                  <c:v>199507.27437404735</c:v>
                </c:pt>
                <c:pt idx="25">
                  <c:v>199660.84998639708</c:v>
                </c:pt>
                <c:pt idx="26">
                  <c:v>199888.86449374186</c:v>
                </c:pt>
                <c:pt idx="27">
                  <c:v>200190.09800967755</c:v>
                </c:pt>
                <c:pt idx="28">
                  <c:v>200563.46674410003</c:v>
                </c:pt>
                <c:pt idx="29">
                  <c:v>201008.01104473195</c:v>
                </c:pt>
                <c:pt idx="30">
                  <c:v>201522.88498386682</c:v>
                </c:pt>
                <c:pt idx="31">
                  <c:v>202107.34724648451</c:v>
                </c:pt>
                <c:pt idx="32">
                  <c:v>202760.75312040147</c:v>
                </c:pt>
                <c:pt idx="33">
                  <c:v>203482.54742446353</c:v>
                </c:pt>
                <c:pt idx="34">
                  <c:v>204272.25823904554</c:v>
                </c:pt>
                <c:pt idx="35">
                  <c:v>205129.49132586599</c:v>
                </c:pt>
                <c:pt idx="36">
                  <c:v>206053.92514254642</c:v>
                </c:pt>
                <c:pt idx="37">
                  <c:v>207045.30637235235</c:v>
                </c:pt>
                <c:pt idx="38">
                  <c:v>208103.44590185027</c:v>
                </c:pt>
                <c:pt idx="39">
                  <c:v>209228.21518934079</c:v>
                </c:pt>
                <c:pt idx="40">
                  <c:v>210419.54297531708</c:v>
                </c:pt>
                <c:pt idx="41">
                  <c:v>211677.41229316397</c:v>
                </c:pt>
                <c:pt idx="42">
                  <c:v>213001.85774414925</c:v>
                </c:pt>
                <c:pt idx="43">
                  <c:v>214392.96300564011</c:v>
                </c:pt>
                <c:pt idx="44">
                  <c:v>215850.85854560675</c:v>
                </c:pt>
                <c:pt idx="45">
                  <c:v>215361.26124199288</c:v>
                </c:pt>
                <c:pt idx="46">
                  <c:v>214728.19023571484</c:v>
                </c:pt>
                <c:pt idx="47">
                  <c:v>214079.90882189752</c:v>
                </c:pt>
                <c:pt idx="48">
                  <c:v>213413.21323244835</c:v>
                </c:pt>
                <c:pt idx="49">
                  <c:v>212724.80839919843</c:v>
                </c:pt>
                <c:pt idx="50">
                  <c:v>212011.30231877591</c:v>
                </c:pt>
                <c:pt idx="51">
                  <c:v>211269.20037138966</c:v>
                </c:pt>
                <c:pt idx="52">
                  <c:v>210494.89958143531</c:v>
                </c:pt>
                <c:pt idx="53">
                  <c:v>209684.68280877228</c:v>
                </c:pt>
                <c:pt idx="54">
                  <c:v>208834.71286032625</c:v>
                </c:pt>
                <c:pt idx="55">
                  <c:v>207941.02651237269</c:v>
                </c:pt>
                <c:pt idx="56">
                  <c:v>206999.5284344517</c:v>
                </c:pt>
                <c:pt idx="57">
                  <c:v>206005.985006387</c:v>
                </c:pt>
                <c:pt idx="58">
                  <c:v>204956.01802032415</c:v>
                </c:pt>
                <c:pt idx="59">
                  <c:v>203845.09826009371</c:v>
                </c:pt>
                <c:pt idx="60">
                  <c:v>202668.53895053599</c:v>
                </c:pt>
                <c:pt idx="61">
                  <c:v>201421.48906970941</c:v>
                </c:pt>
                <c:pt idx="62">
                  <c:v>200098.92651715546</c:v>
                </c:pt>
                <c:pt idx="63">
                  <c:v>198695.65113160346</c:v>
                </c:pt>
                <c:pt idx="64">
                  <c:v>197206.27755167973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94-4305-AD8D-81DB74605573}"/>
            </c:ext>
          </c:extLst>
        </c:ser>
        <c:ser>
          <c:idx val="4"/>
          <c:order val="4"/>
          <c:tx>
            <c:v>H=4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EDisponible!$AN$20:$AN$84</c:f>
              <c:numCache>
                <c:formatCode>General</c:formatCode>
                <c:ptCount val="65"/>
                <c:pt idx="0">
                  <c:v>185941.95939726426</c:v>
                </c:pt>
                <c:pt idx="1">
                  <c:v>183152.21965319422</c:v>
                </c:pt>
                <c:pt idx="2">
                  <c:v>180712.3015169237</c:v>
                </c:pt>
                <c:pt idx="3">
                  <c:v>178549.29974566438</c:v>
                </c:pt>
                <c:pt idx="4">
                  <c:v>176615.34097112293</c:v>
                </c:pt>
                <c:pt idx="5">
                  <c:v>174876.89246838962</c:v>
                </c:pt>
                <c:pt idx="6">
                  <c:v>173309.32473766958</c:v>
                </c:pt>
                <c:pt idx="7">
                  <c:v>171893.8781792557</c:v>
                </c:pt>
                <c:pt idx="8">
                  <c:v>170615.84884167369</c:v>
                </c:pt>
                <c:pt idx="9">
                  <c:v>169463.4424599034</c:v>
                </c:pt>
                <c:pt idx="10">
                  <c:v>168427.01806229542</c:v>
                </c:pt>
                <c:pt idx="11">
                  <c:v>167498.57026508707</c:v>
                </c:pt>
                <c:pt idx="12">
                  <c:v>166671.36396846198</c:v>
                </c:pt>
                <c:pt idx="13">
                  <c:v>165939.66980350338</c:v>
                </c:pt>
                <c:pt idx="14">
                  <c:v>165298.56819453879</c:v>
                </c:pt>
                <c:pt idx="15">
                  <c:v>164743.80136962674</c:v>
                </c:pt>
                <c:pt idx="16">
                  <c:v>164271.65963975716</c:v>
                </c:pt>
                <c:pt idx="17">
                  <c:v>163878.89266139604</c:v>
                </c:pt>
                <c:pt idx="18">
                  <c:v>163562.63923757305</c:v>
                </c:pt>
                <c:pt idx="19">
                  <c:v>163320.37109459948</c:v>
                </c:pt>
                <c:pt idx="20">
                  <c:v>163149.84734582761</c:v>
                </c:pt>
                <c:pt idx="21">
                  <c:v>163049.07723391466</c:v>
                </c:pt>
                <c:pt idx="22">
                  <c:v>163016.28936169163</c:v>
                </c:pt>
                <c:pt idx="23">
                  <c:v>163049.90606369174</c:v>
                </c:pt>
                <c:pt idx="24">
                  <c:v>163148.52189079809</c:v>
                </c:pt>
                <c:pt idx="25">
                  <c:v>163310.88541590347</c:v>
                </c:pt>
                <c:pt idx="26">
                  <c:v>163535.88374363829</c:v>
                </c:pt>
                <c:pt idx="27">
                  <c:v>163822.52923902863</c:v>
                </c:pt>
                <c:pt idx="28">
                  <c:v>164169.948090199</c:v>
                </c:pt>
                <c:pt idx="29">
                  <c:v>164577.3703972279</c:v>
                </c:pt>
                <c:pt idx="30">
                  <c:v>165044.12153894731</c:v>
                </c:pt>
                <c:pt idx="31">
                  <c:v>165569.61461612998</c:v>
                </c:pt>
                <c:pt idx="32">
                  <c:v>166153.343806283</c:v>
                </c:pt>
                <c:pt idx="33">
                  <c:v>166794.87849445411</c:v>
                </c:pt>
                <c:pt idx="34">
                  <c:v>167493.8580678023</c:v>
                </c:pt>
                <c:pt idx="35">
                  <c:v>168249.98728047282</c:v>
                </c:pt>
                <c:pt idx="36">
                  <c:v>169063.03211053752</c:v>
                </c:pt>
                <c:pt idx="37">
                  <c:v>169932.81604315824</c:v>
                </c:pt>
                <c:pt idx="38">
                  <c:v>170859.21672429668</c:v>
                </c:pt>
                <c:pt idx="39">
                  <c:v>171842.16293765546</c:v>
                </c:pt>
                <c:pt idx="40">
                  <c:v>172881.6318644727</c:v>
                </c:pt>
                <c:pt idx="41">
                  <c:v>173977.64659154764</c:v>
                </c:pt>
                <c:pt idx="42">
                  <c:v>175130.27383769734</c:v>
                </c:pt>
                <c:pt idx="43">
                  <c:v>176339.62187288346</c:v>
                </c:pt>
                <c:pt idx="44">
                  <c:v>177605.8386076529</c:v>
                </c:pt>
                <c:pt idx="45">
                  <c:v>178929.10983342474</c:v>
                </c:pt>
                <c:pt idx="46">
                  <c:v>180309.65759659346</c:v>
                </c:pt>
                <c:pt idx="47">
                  <c:v>181747.73869151494</c:v>
                </c:pt>
                <c:pt idx="48">
                  <c:v>183243.64325921735</c:v>
                </c:pt>
                <c:pt idx="49">
                  <c:v>184797.69348021675</c:v>
                </c:pt>
                <c:pt idx="50">
                  <c:v>186410.24235112834</c:v>
                </c:pt>
                <c:pt idx="51">
                  <c:v>188081.67253590858</c:v>
                </c:pt>
                <c:pt idx="52">
                  <c:v>188722.16304514927</c:v>
                </c:pt>
                <c:pt idx="53">
                  <c:v>188279.2078179649</c:v>
                </c:pt>
                <c:pt idx="54">
                  <c:v>187808.65781557065</c:v>
                </c:pt>
                <c:pt idx="55">
                  <c:v>187307.19423498659</c:v>
                </c:pt>
                <c:pt idx="56">
                  <c:v>186771.38472992275</c:v>
                </c:pt>
                <c:pt idx="57">
                  <c:v>186197.67792052004</c:v>
                </c:pt>
                <c:pt idx="58">
                  <c:v>185582.39779743165</c:v>
                </c:pt>
                <c:pt idx="59">
                  <c:v>184921.73801343027</c:v>
                </c:pt>
                <c:pt idx="60">
                  <c:v>184211.75605600036</c:v>
                </c:pt>
                <c:pt idx="61">
                  <c:v>183448.36729461217</c:v>
                </c:pt>
                <c:pt idx="62">
                  <c:v>182627.33889657291</c:v>
                </c:pt>
                <c:pt idx="63">
                  <c:v>181744.28360553074</c:v>
                </c:pt>
                <c:pt idx="64">
                  <c:v>180794.65337684896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4-4305-AD8D-81DB74605573}"/>
            </c:ext>
          </c:extLst>
        </c:ser>
        <c:ser>
          <c:idx val="5"/>
          <c:order val="5"/>
          <c:tx>
            <c:v>H=5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EDisponible!$AT$20:$AT$84</c:f>
              <c:numCache>
                <c:formatCode>General</c:formatCode>
                <c:ptCount val="65"/>
                <c:pt idx="0">
                  <c:v>150587.08192722261</c:v>
                </c:pt>
                <c:pt idx="1">
                  <c:v>148308.67613790097</c:v>
                </c:pt>
                <c:pt idx="2">
                  <c:v>146318.02622370634</c:v>
                </c:pt>
                <c:pt idx="3">
                  <c:v>144555.37205127068</c:v>
                </c:pt>
                <c:pt idx="4">
                  <c:v>142981.46249281822</c:v>
                </c:pt>
                <c:pt idx="5">
                  <c:v>141568.79772747718</c:v>
                </c:pt>
                <c:pt idx="6">
                  <c:v>140297.17496589827</c:v>
                </c:pt>
                <c:pt idx="7">
                  <c:v>139151.20343277784</c:v>
                </c:pt>
                <c:pt idx="8">
                  <c:v>138118.81795669219</c:v>
                </c:pt>
                <c:pt idx="9">
                  <c:v>137190.34001140355</c:v>
                </c:pt>
                <c:pt idx="10">
                  <c:v>136357.85789803416</c:v>
                </c:pt>
                <c:pt idx="11">
                  <c:v>135614.80247291495</c:v>
                </c:pt>
                <c:pt idx="12">
                  <c:v>134955.64773737919</c:v>
                </c:pt>
                <c:pt idx="13">
                  <c:v>134375.69397706931</c:v>
                </c:pt>
                <c:pt idx="14">
                  <c:v>133870.90712433326</c:v>
                </c:pt>
                <c:pt idx="15">
                  <c:v>133437.797411818</c:v>
                </c:pt>
                <c:pt idx="16">
                  <c:v>133073.32610977374</c:v>
                </c:pt>
                <c:pt idx="17">
                  <c:v>132774.8327392783</c:v>
                </c:pt>
                <c:pt idx="18">
                  <c:v>132539.97748070644</c:v>
                </c:pt>
                <c:pt idx="19">
                  <c:v>132366.69503853243</c:v>
                </c:pt>
                <c:pt idx="20">
                  <c:v>132253.15726760455</c:v>
                </c:pt>
                <c:pt idx="21">
                  <c:v>132197.74258706821</c:v>
                </c:pt>
                <c:pt idx="22">
                  <c:v>132199.01071500129</c:v>
                </c:pt>
                <c:pt idx="23">
                  <c:v>132255.6816189489</c:v>
                </c:pt>
                <c:pt idx="24">
                  <c:v>132366.61784009167</c:v>
                </c:pt>
                <c:pt idx="25">
                  <c:v>132530.80954170923</c:v>
                </c:pt>
                <c:pt idx="26">
                  <c:v>132747.36177613662</c:v>
                </c:pt>
                <c:pt idx="27">
                  <c:v>133015.48357244002</c:v>
                </c:pt>
                <c:pt idx="28">
                  <c:v>133334.4785291923</c:v>
                </c:pt>
                <c:pt idx="29">
                  <c:v>133703.73665983928</c:v>
                </c:pt>
                <c:pt idx="30">
                  <c:v>134122.7272870618</c:v>
                </c:pt>
                <c:pt idx="31">
                  <c:v>134590.9928207855</c:v>
                </c:pt>
                <c:pt idx="32">
                  <c:v>135108.14328463087</c:v>
                </c:pt>
                <c:pt idx="33">
                  <c:v>135673.85147952675</c:v>
                </c:pt>
                <c:pt idx="34">
                  <c:v>136287.84869234831</c:v>
                </c:pt>
                <c:pt idx="35">
                  <c:v>136949.92087284787</c:v>
                </c:pt>
                <c:pt idx="36">
                  <c:v>137659.90521462404</c:v>
                </c:pt>
                <c:pt idx="37">
                  <c:v>138417.68708604251</c:v>
                </c:pt>
                <c:pt idx="38">
                  <c:v>139223.19726535445</c:v>
                </c:pt>
                <c:pt idx="39">
                  <c:v>140076.4094411238</c:v>
                </c:pt>
                <c:pt idx="40">
                  <c:v>140977.33794475385</c:v>
                </c:pt>
                <c:pt idx="41">
                  <c:v>141926.03568663393</c:v>
                </c:pt>
                <c:pt idx="42">
                  <c:v>142922.59227137646</c:v>
                </c:pt>
                <c:pt idx="43">
                  <c:v>143967.1322709306</c:v>
                </c:pt>
                <c:pt idx="44">
                  <c:v>145059.81363715307</c:v>
                </c:pt>
                <c:pt idx="45">
                  <c:v>146200.82623778196</c:v>
                </c:pt>
                <c:pt idx="46">
                  <c:v>147390.39050176713</c:v>
                </c:pt>
                <c:pt idx="47">
                  <c:v>148628.75616162177</c:v>
                </c:pt>
                <c:pt idx="48">
                  <c:v>149916.20108192565</c:v>
                </c:pt>
                <c:pt idx="49">
                  <c:v>151253.03016436525</c:v>
                </c:pt>
                <c:pt idx="50">
                  <c:v>152639.57432077656</c:v>
                </c:pt>
                <c:pt idx="51">
                  <c:v>154076.18950659374</c:v>
                </c:pt>
                <c:pt idx="52">
                  <c:v>155563.25580790994</c:v>
                </c:pt>
                <c:pt idx="53">
                  <c:v>157101.17657606371</c:v>
                </c:pt>
                <c:pt idx="54">
                  <c:v>158690.37760427091</c:v>
                </c:pt>
                <c:pt idx="55">
                  <c:v>160331.30634135997</c:v>
                </c:pt>
                <c:pt idx="56">
                  <c:v>162024.43113812877</c:v>
                </c:pt>
                <c:pt idx="57">
                  <c:v>163770.24052225839</c:v>
                </c:pt>
                <c:pt idx="58">
                  <c:v>165569.24249807026</c:v>
                </c:pt>
                <c:pt idx="59">
                  <c:v>165359.44330506778</c:v>
                </c:pt>
                <c:pt idx="60">
                  <c:v>165011.45489078524</c:v>
                </c:pt>
                <c:pt idx="61">
                  <c:v>164624.04513171015</c:v>
                </c:pt>
                <c:pt idx="62">
                  <c:v>164193.67433160148</c:v>
                </c:pt>
                <c:pt idx="63">
                  <c:v>163716.66950262233</c:v>
                </c:pt>
                <c:pt idx="64">
                  <c:v>163189.218716159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94-4305-AD8D-81DB74605573}"/>
            </c:ext>
          </c:extLst>
        </c:ser>
        <c:ser>
          <c:idx val="6"/>
          <c:order val="6"/>
          <c:tx>
            <c:v>H=6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EDisponible!$AZ$20:$AZ$84</c:f>
              <c:numCache>
                <c:formatCode>General</c:formatCode>
                <c:ptCount val="65"/>
                <c:pt idx="0">
                  <c:v>120889.344086343</c:v>
                </c:pt>
                <c:pt idx="1">
                  <c:v>119044.30609208034</c:v>
                </c:pt>
                <c:pt idx="2">
                  <c:v>117434.08080146959</c:v>
                </c:pt>
                <c:pt idx="3">
                  <c:v>116010.08463198144</c:v>
                </c:pt>
                <c:pt idx="4">
                  <c:v>114740.39910660741</c:v>
                </c:pt>
                <c:pt idx="5">
                  <c:v>113602.65616168822</c:v>
                </c:pt>
                <c:pt idx="6">
                  <c:v>112580.41932494218</c:v>
                </c:pt>
                <c:pt idx="7">
                  <c:v>111661.16466033779</c:v>
                </c:pt>
                <c:pt idx="8">
                  <c:v>110835.07297981415</c:v>
                </c:pt>
                <c:pt idx="9">
                  <c:v>110094.26682110025</c:v>
                </c:pt>
                <c:pt idx="10">
                  <c:v>109432.30671677137</c:v>
                </c:pt>
                <c:pt idx="11">
                  <c:v>108843.84634558538</c:v>
                </c:pt>
                <c:pt idx="12">
                  <c:v>108324.38914076731</c:v>
                </c:pt>
                <c:pt idx="13">
                  <c:v>107870.11197835262</c:v>
                </c:pt>
                <c:pt idx="14">
                  <c:v>107477.73455580589</c:v>
                </c:pt>
                <c:pt idx="15">
                  <c:v>107144.42070347619</c:v>
                </c:pt>
                <c:pt idx="16">
                  <c:v>106867.70252222659</c:v>
                </c:pt>
                <c:pt idx="17">
                  <c:v>106645.42116521565</c:v>
                </c:pt>
                <c:pt idx="18">
                  <c:v>106475.6799725747</c:v>
                </c:pt>
                <c:pt idx="19">
                  <c:v>106356.80692044395</c:v>
                </c:pt>
                <c:pt idx="20">
                  <c:v>106287.32419416885</c:v>
                </c:pt>
                <c:pt idx="21">
                  <c:v>106265.92328136072</c:v>
                </c:pt>
                <c:pt idx="22">
                  <c:v>106291.44439242585</c:v>
                </c:pt>
                <c:pt idx="23">
                  <c:v>106362.85931044674</c:v>
                </c:pt>
                <c:pt idx="24">
                  <c:v>106479.25698566524</c:v>
                </c:pt>
                <c:pt idx="25">
                  <c:v>106639.83134660976</c:v>
                </c:pt>
                <c:pt idx="26">
                  <c:v>106843.87091657701</c:v>
                </c:pt>
                <c:pt idx="27">
                  <c:v>107090.7499119729</c:v>
                </c:pt>
                <c:pt idx="28">
                  <c:v>107379.92056580658</c:v>
                </c:pt>
                <c:pt idx="29">
                  <c:v>107710.90647092408</c:v>
                </c:pt>
                <c:pt idx="30">
                  <c:v>108083.29677733926</c:v>
                </c:pt>
                <c:pt idx="31">
                  <c:v>108496.7411091096</c:v>
                </c:pt>
                <c:pt idx="32">
                  <c:v>108950.94509071042</c:v>
                </c:pt>
                <c:pt idx="33">
                  <c:v>109445.66639231968</c:v>
                </c:pt>
                <c:pt idx="34">
                  <c:v>109980.71121898841</c:v>
                </c:pt>
                <c:pt idx="35">
                  <c:v>110555.93118119787</c:v>
                </c:pt>
                <c:pt idx="36">
                  <c:v>111171.22049445371</c:v>
                </c:pt>
                <c:pt idx="37">
                  <c:v>111826.51346383827</c:v>
                </c:pt>
                <c:pt idx="38">
                  <c:v>112521.78221621676</c:v>
                </c:pt>
                <c:pt idx="39">
                  <c:v>113257.03464838001</c:v>
                </c:pt>
                <c:pt idx="40">
                  <c:v>114032.31256402485</c:v>
                </c:pt>
                <c:pt idx="41">
                  <c:v>114847.68997632276</c:v>
                </c:pt>
                <c:pt idx="42">
                  <c:v>115703.27155604052</c:v>
                </c:pt>
                <c:pt idx="43">
                  <c:v>116599.19120787342</c:v>
                </c:pt>
                <c:pt idx="44">
                  <c:v>117535.61075992779</c:v>
                </c:pt>
                <c:pt idx="45">
                  <c:v>118512.71875321187</c:v>
                </c:pt>
                <c:pt idx="46">
                  <c:v>119530.72931963032</c:v>
                </c:pt>
                <c:pt idx="47">
                  <c:v>120589.88113836778</c:v>
                </c:pt>
                <c:pt idx="48">
                  <c:v>121690.43646174285</c:v>
                </c:pt>
                <c:pt idx="49">
                  <c:v>122832.68020263124</c:v>
                </c:pt>
                <c:pt idx="50">
                  <c:v>124016.91907644203</c:v>
                </c:pt>
                <c:pt idx="51">
                  <c:v>125243.48079138687</c:v>
                </c:pt>
                <c:pt idx="52">
                  <c:v>126512.71328144173</c:v>
                </c:pt>
                <c:pt idx="53">
                  <c:v>127824.98397697367</c:v>
                </c:pt>
                <c:pt idx="54">
                  <c:v>129180.67910849898</c:v>
                </c:pt>
                <c:pt idx="55">
                  <c:v>130580.20303947473</c:v>
                </c:pt>
                <c:pt idx="56">
                  <c:v>132023.97762440742</c:v>
                </c:pt>
                <c:pt idx="57">
                  <c:v>133512.44158889103</c:v>
                </c:pt>
                <c:pt idx="58">
                  <c:v>135046.04992848376</c:v>
                </c:pt>
                <c:pt idx="59">
                  <c:v>136625.27332358493</c:v>
                </c:pt>
                <c:pt idx="60">
                  <c:v>138250.59756770747</c:v>
                </c:pt>
                <c:pt idx="61">
                  <c:v>139922.52300673528</c:v>
                </c:pt>
                <c:pt idx="62">
                  <c:v>141641.56398693623</c:v>
                </c:pt>
                <c:pt idx="63">
                  <c:v>143408.24830966018</c:v>
                </c:pt>
                <c:pt idx="64">
                  <c:v>145161.89777336488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94-4305-AD8D-81DB74605573}"/>
            </c:ext>
          </c:extLst>
        </c:ser>
        <c:ser>
          <c:idx val="7"/>
          <c:order val="7"/>
          <c:tx>
            <c:v>H=7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EDisponible!$A$20:$A$84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EDisponible!$BF$20:$BF$84</c:f>
              <c:numCache>
                <c:formatCode>General</c:formatCode>
                <c:ptCount val="65"/>
                <c:pt idx="0">
                  <c:v>96127.523830610546</c:v>
                </c:pt>
                <c:pt idx="1">
                  <c:v>94647.17889857688</c:v>
                </c:pt>
                <c:pt idx="2">
                  <c:v>93356.784181137176</c:v>
                </c:pt>
                <c:pt idx="3">
                  <c:v>92217.194016871043</c:v>
                </c:pt>
                <c:pt idx="4">
                  <c:v>91202.68339200347</c:v>
                </c:pt>
                <c:pt idx="5">
                  <c:v>90295.219788021801</c:v>
                </c:pt>
                <c:pt idx="6">
                  <c:v>89481.549433684137</c:v>
                </c:pt>
                <c:pt idx="7">
                  <c:v>88751.5715157331</c:v>
                </c:pt>
                <c:pt idx="8">
                  <c:v>88097.36555815232</c:v>
                </c:pt>
                <c:pt idx="9">
                  <c:v>87512.576907651601</c:v>
                </c:pt>
                <c:pt idx="10">
                  <c:v>86992.010999327948</c:v>
                </c:pt>
                <c:pt idx="11">
                  <c:v>86531.355560697208</c:v>
                </c:pt>
                <c:pt idx="12">
                  <c:v>86126.984517968202</c:v>
                </c:pt>
                <c:pt idx="13">
                  <c:v>85775.815924920462</c:v>
                </c:pt>
                <c:pt idx="14">
                  <c:v>85475.206691032101</c:v>
                </c:pt>
                <c:pt idx="15">
                  <c:v>85222.873030687013</c:v>
                </c:pt>
                <c:pt idx="16">
                  <c:v>85016.829299970108</c:v>
                </c:pt>
                <c:pt idx="17">
                  <c:v>84855.340242475781</c:v>
                </c:pt>
                <c:pt idx="18">
                  <c:v>84736.88318804992</c:v>
                </c:pt>
                <c:pt idx="19">
                  <c:v>84660.117757138243</c:v>
                </c:pt>
                <c:pt idx="20">
                  <c:v>84623.861306572406</c:v>
                </c:pt>
                <c:pt idx="21">
                  <c:v>84627.068824460483</c:v>
                </c:pt>
                <c:pt idx="22">
                  <c:v>84668.816313572737</c:v>
                </c:pt>
                <c:pt idx="23">
                  <c:v>84748.286939623998</c:v>
                </c:pt>
                <c:pt idx="24">
                  <c:v>84864.759392703956</c:v>
                </c:pt>
                <c:pt idx="25">
                  <c:v>85017.598036398427</c:v>
                </c:pt>
                <c:pt idx="26">
                  <c:v>85206.244513121346</c:v>
                </c:pt>
                <c:pt idx="27">
                  <c:v>85430.210544902046</c:v>
                </c:pt>
                <c:pt idx="28">
                  <c:v>85689.071722674431</c:v>
                </c:pt>
                <c:pt idx="29">
                  <c:v>85982.462118444513</c:v>
                </c:pt>
                <c:pt idx="30">
                  <c:v>86310.0695867498</c:v>
                </c:pt>
                <c:pt idx="31">
                  <c:v>86671.631646880065</c:v>
                </c:pt>
                <c:pt idx="32">
                  <c:v>87066.93185707365</c:v>
                </c:pt>
                <c:pt idx="33">
                  <c:v>87495.796607585813</c:v>
                </c:pt>
                <c:pt idx="34">
                  <c:v>87958.092272066919</c:v>
                </c:pt>
                <c:pt idx="35">
                  <c:v>88453.722666785528</c:v>
                </c:pt>
                <c:pt idx="36">
                  <c:v>88982.626775411714</c:v>
                </c:pt>
                <c:pt idx="37">
                  <c:v>89544.776703741794</c:v>
                </c:pt>
                <c:pt idx="38">
                  <c:v>90140.175834210604</c:v>
                </c:pt>
                <c:pt idx="39">
                  <c:v>90768.857154537283</c:v>
                </c:pt>
                <c:pt idx="40">
                  <c:v>91430.881738578595</c:v>
                </c:pt>
                <c:pt idx="41">
                  <c:v>92126.337360565711</c:v>
                </c:pt>
                <c:pt idx="42">
                  <c:v>92855.337226490956</c:v>
                </c:pt>
                <c:pt idx="43">
                  <c:v>93618.018808588953</c:v>
                </c:pt>
                <c:pt idx="44">
                  <c:v>94414.542770687869</c:v>
                </c:pt>
                <c:pt idx="45">
                  <c:v>95245.091973762086</c:v>
                </c:pt>
                <c:pt idx="46">
                  <c:v>96109.870552333101</c:v>
                </c:pt>
                <c:pt idx="47">
                  <c:v>97009.103053489351</c:v>
                </c:pt>
                <c:pt idx="48">
                  <c:v>97943.033631259706</c:v>
                </c:pt>
                <c:pt idx="49">
                  <c:v>98911.925289896302</c:v>
                </c:pt>
                <c:pt idx="50">
                  <c:v>99916.059170334993</c:v>
                </c:pt>
                <c:pt idx="51">
                  <c:v>100955.73387471512</c:v>
                </c:pt>
                <c:pt idx="52">
                  <c:v>102031.26482436834</c:v>
                </c:pt>
                <c:pt idx="53">
                  <c:v>103142.98364715031</c:v>
                </c:pt>
                <c:pt idx="54">
                  <c:v>104291.23759038826</c:v>
                </c:pt>
                <c:pt idx="55">
                  <c:v>105476.3889560674</c:v>
                </c:pt>
                <c:pt idx="56">
                  <c:v>106698.81455518684</c:v>
                </c:pt>
                <c:pt idx="57">
                  <c:v>107958.90517848244</c:v>
                </c:pt>
                <c:pt idx="58">
                  <c:v>109257.06508094979</c:v>
                </c:pt>
                <c:pt idx="59">
                  <c:v>110593.71147780943</c:v>
                </c:pt>
                <c:pt idx="60">
                  <c:v>111969.274049738</c:v>
                </c:pt>
                <c:pt idx="61">
                  <c:v>113384.19445535092</c:v>
                </c:pt>
                <c:pt idx="62">
                  <c:v>114838.92584906587</c:v>
                </c:pt>
                <c:pt idx="63">
                  <c:v>116333.93240260218</c:v>
                </c:pt>
                <c:pt idx="64">
                  <c:v>117869.68882848472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94-4305-AD8D-81DB7460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41376"/>
        <c:axId val="2042333216"/>
      </c:scatterChart>
      <c:valAx>
        <c:axId val="20423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3216"/>
        <c:crosses val="autoZero"/>
        <c:crossBetween val="midCat"/>
      </c:valAx>
      <c:valAx>
        <c:axId val="2042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EDisponible!$B$20:$B$84</c:f>
              <c:numCache>
                <c:formatCode>General</c:formatCode>
                <c:ptCount val="65"/>
                <c:pt idx="0">
                  <c:v>5.8564218430171157E-2</c:v>
                </c:pt>
                <c:pt idx="1">
                  <c:v>7.3205273037713944E-2</c:v>
                </c:pt>
                <c:pt idx="2">
                  <c:v>8.7846327645256725E-2</c:v>
                </c:pt>
                <c:pt idx="3">
                  <c:v>0.10248738225279952</c:v>
                </c:pt>
                <c:pt idx="4">
                  <c:v>0.11712843686034231</c:v>
                </c:pt>
                <c:pt idx="5">
                  <c:v>0.13176949146788511</c:v>
                </c:pt>
                <c:pt idx="6">
                  <c:v>0.14641054607542789</c:v>
                </c:pt>
                <c:pt idx="7">
                  <c:v>0.16105160068297067</c:v>
                </c:pt>
                <c:pt idx="8">
                  <c:v>0.17569265529051345</c:v>
                </c:pt>
                <c:pt idx="9">
                  <c:v>0.19033370989805626</c:v>
                </c:pt>
                <c:pt idx="10">
                  <c:v>0.20497476450559904</c:v>
                </c:pt>
                <c:pt idx="11">
                  <c:v>0.21961581911314182</c:v>
                </c:pt>
                <c:pt idx="12">
                  <c:v>0.23425687372068463</c:v>
                </c:pt>
                <c:pt idx="13">
                  <c:v>0.24889792832822741</c:v>
                </c:pt>
                <c:pt idx="14">
                  <c:v>0.26353898293577022</c:v>
                </c:pt>
                <c:pt idx="15">
                  <c:v>0.278180037543313</c:v>
                </c:pt>
                <c:pt idx="16">
                  <c:v>0.29282109215085578</c:v>
                </c:pt>
                <c:pt idx="17">
                  <c:v>0.30746214675839856</c:v>
                </c:pt>
                <c:pt idx="18">
                  <c:v>0.32210320136594134</c:v>
                </c:pt>
                <c:pt idx="19">
                  <c:v>0.33674425597348412</c:v>
                </c:pt>
                <c:pt idx="20">
                  <c:v>0.3513853105810269</c:v>
                </c:pt>
                <c:pt idx="21">
                  <c:v>0.36602636518856974</c:v>
                </c:pt>
                <c:pt idx="22">
                  <c:v>0.38066741979611252</c:v>
                </c:pt>
                <c:pt idx="23">
                  <c:v>0.3953084744036553</c:v>
                </c:pt>
                <c:pt idx="24">
                  <c:v>0.40994952901119808</c:v>
                </c:pt>
                <c:pt idx="25">
                  <c:v>0.42459058361874086</c:v>
                </c:pt>
                <c:pt idx="26">
                  <c:v>0.43923163822628364</c:v>
                </c:pt>
                <c:pt idx="27">
                  <c:v>0.45387269283382642</c:v>
                </c:pt>
                <c:pt idx="28">
                  <c:v>0.46851374744136925</c:v>
                </c:pt>
                <c:pt idx="29">
                  <c:v>0.48315480204891204</c:v>
                </c:pt>
                <c:pt idx="30">
                  <c:v>0.49779585665645482</c:v>
                </c:pt>
                <c:pt idx="31">
                  <c:v>0.5124369112639976</c:v>
                </c:pt>
                <c:pt idx="32">
                  <c:v>0.52707796587154043</c:v>
                </c:pt>
                <c:pt idx="33">
                  <c:v>0.54171902047908316</c:v>
                </c:pt>
                <c:pt idx="34">
                  <c:v>0.55636007508662599</c:v>
                </c:pt>
                <c:pt idx="35">
                  <c:v>0.57100112969416872</c:v>
                </c:pt>
                <c:pt idx="36">
                  <c:v>0.58564218430171155</c:v>
                </c:pt>
                <c:pt idx="37">
                  <c:v>0.60028323890925428</c:v>
                </c:pt>
                <c:pt idx="38">
                  <c:v>0.61492429351679712</c:v>
                </c:pt>
                <c:pt idx="39">
                  <c:v>0.62956534812433995</c:v>
                </c:pt>
                <c:pt idx="40">
                  <c:v>0.64420640273188268</c:v>
                </c:pt>
                <c:pt idx="41">
                  <c:v>0.65884745733942551</c:v>
                </c:pt>
                <c:pt idx="42">
                  <c:v>0.67348851194696824</c:v>
                </c:pt>
                <c:pt idx="43">
                  <c:v>0.68812956655451107</c:v>
                </c:pt>
                <c:pt idx="44">
                  <c:v>0.7027706211620538</c:v>
                </c:pt>
                <c:pt idx="45">
                  <c:v>0.71741167576959664</c:v>
                </c:pt>
                <c:pt idx="46">
                  <c:v>0.73205273037713947</c:v>
                </c:pt>
                <c:pt idx="47">
                  <c:v>0.7466937849846822</c:v>
                </c:pt>
                <c:pt idx="48">
                  <c:v>0.76133483959222503</c:v>
                </c:pt>
                <c:pt idx="49">
                  <c:v>0.77597589419976776</c:v>
                </c:pt>
                <c:pt idx="50">
                  <c:v>0.79061694880731059</c:v>
                </c:pt>
                <c:pt idx="51">
                  <c:v>0.80525800341485332</c:v>
                </c:pt>
                <c:pt idx="52">
                  <c:v>0.81989905802239615</c:v>
                </c:pt>
                <c:pt idx="53">
                  <c:v>0.83454011262993899</c:v>
                </c:pt>
                <c:pt idx="54">
                  <c:v>0.84918116723748172</c:v>
                </c:pt>
                <c:pt idx="55">
                  <c:v>0.86382222184502455</c:v>
                </c:pt>
                <c:pt idx="56">
                  <c:v>0.87846327645256728</c:v>
                </c:pt>
                <c:pt idx="57">
                  <c:v>0.89310433106011011</c:v>
                </c:pt>
                <c:pt idx="58">
                  <c:v>0.90774538566765284</c:v>
                </c:pt>
                <c:pt idx="59">
                  <c:v>0.92238644027519567</c:v>
                </c:pt>
                <c:pt idx="60">
                  <c:v>0.93702749488273851</c:v>
                </c:pt>
                <c:pt idx="61">
                  <c:v>0.95166854949028123</c:v>
                </c:pt>
                <c:pt idx="62">
                  <c:v>0.96630960409782407</c:v>
                </c:pt>
                <c:pt idx="63">
                  <c:v>0.9809506587053668</c:v>
                </c:pt>
                <c:pt idx="64">
                  <c:v>0.99559171331290963</c:v>
                </c:pt>
              </c:numCache>
            </c:numRef>
          </c:xVal>
          <c:yVal>
            <c:numRef>
              <c:f>EDisponible!$P$20:$P$84</c:f>
              <c:numCache>
                <c:formatCode>General</c:formatCode>
                <c:ptCount val="65"/>
                <c:pt idx="0">
                  <c:v>400275.57966900425</c:v>
                </c:pt>
                <c:pt idx="1">
                  <c:v>394107.52705885581</c:v>
                </c:pt>
                <c:pt idx="2">
                  <c:v>388581.86155327468</c:v>
                </c:pt>
                <c:pt idx="3">
                  <c:v>383549.3063924039</c:v>
                </c:pt>
                <c:pt idx="4">
                  <c:v>378912.14922960958</c:v>
                </c:pt>
                <c:pt idx="5">
                  <c:v>374602.13330298528</c:v>
                </c:pt>
                <c:pt idx="6">
                  <c:v>370569.21778295178</c:v>
                </c:pt>
                <c:pt idx="7">
                  <c:v>366775.31102186791</c:v>
                </c:pt>
                <c:pt idx="8">
                  <c:v>363190.52497582306</c:v>
                </c:pt>
                <c:pt idx="9">
                  <c:v>359790.81135436572</c:v>
                </c:pt>
                <c:pt idx="10">
                  <c:v>356556.40294251841</c:v>
                </c:pt>
                <c:pt idx="11">
                  <c:v>353470.74802251766</c:v>
                </c:pt>
                <c:pt idx="12">
                  <c:v>350519.7594518516</c:v>
                </c:pt>
                <c:pt idx="13">
                  <c:v>347691.27159981907</c:v>
                </c:pt>
                <c:pt idx="14">
                  <c:v>344974.63870980369</c:v>
                </c:pt>
                <c:pt idx="15">
                  <c:v>342360.43197293096</c:v>
                </c:pt>
                <c:pt idx="16">
                  <c:v>339840.20704926195</c:v>
                </c:pt>
                <c:pt idx="17">
                  <c:v>337406.32285816589</c:v>
                </c:pt>
                <c:pt idx="18">
                  <c:v>335051.79833197762</c:v>
                </c:pt>
                <c:pt idx="19">
                  <c:v>332770.19771687372</c:v>
                </c:pt>
                <c:pt idx="20">
                  <c:v>330555.53763834399</c:v>
                </c:pt>
                <c:pt idx="21">
                  <c:v>328402.21096683957</c:v>
                </c:pt>
                <c:pt idx="22">
                  <c:v>326304.92379693151</c:v>
                </c:pt>
                <c:pt idx="23">
                  <c:v>324258.64276581822</c:v>
                </c:pt>
                <c:pt idx="24">
                  <c:v>322258.55059830536</c:v>
                </c:pt>
                <c:pt idx="25">
                  <c:v>320300.00825106644</c:v>
                </c:pt>
                <c:pt idx="26">
                  <c:v>318378.52239014959</c:v>
                </c:pt>
                <c:pt idx="27">
                  <c:v>316489.71720728913</c:v>
                </c:pt>
                <c:pt idx="28">
                  <c:v>314629.30978701601</c:v>
                </c:pt>
                <c:pt idx="29">
                  <c:v>312793.08839496173</c:v>
                </c:pt>
                <c:pt idx="30">
                  <c:v>310976.89318043471</c:v>
                </c:pt>
                <c:pt idx="31">
                  <c:v>309176.59888214694</c:v>
                </c:pt>
                <c:pt idx="32">
                  <c:v>307388.09920137736</c:v>
                </c:pt>
                <c:pt idx="33">
                  <c:v>305607.29256665095</c:v>
                </c:pt>
                <c:pt idx="34">
                  <c:v>303830.06906174886</c:v>
                </c:pt>
                <c:pt idx="35">
                  <c:v>302052.29832722351</c:v>
                </c:pt>
                <c:pt idx="36">
                  <c:v>300269.81827660487</c:v>
                </c:pt>
                <c:pt idx="37">
                  <c:v>298478.42449369858</c:v>
                </c:pt>
                <c:pt idx="38">
                  <c:v>296673.86019798467</c:v>
                </c:pt>
                <c:pt idx="39">
                  <c:v>294851.80668205884</c:v>
                </c:pt>
                <c:pt idx="40">
                  <c:v>293007.87413903838</c:v>
                </c:pt>
                <c:pt idx="41">
                  <c:v>291137.59280943929</c:v>
                </c:pt>
                <c:pt idx="42">
                  <c:v>289236.40438668698</c:v>
                </c:pt>
                <c:pt idx="43">
                  <c:v>287299.65362848435</c:v>
                </c:pt>
                <c:pt idx="44">
                  <c:v>285322.58012803749</c:v>
                </c:pt>
                <c:pt idx="45">
                  <c:v>283300.31020483177</c:v>
                </c:pt>
                <c:pt idx="46">
                  <c:v>281227.84887947468</c:v>
                </c:pt>
                <c:pt idx="47">
                  <c:v>279100.07190119667</c:v>
                </c:pt>
                <c:pt idx="48">
                  <c:v>276911.71780007443</c:v>
                </c:pt>
                <c:pt idx="49">
                  <c:v>274657.37993899314</c:v>
                </c:pt>
                <c:pt idx="50">
                  <c:v>272331.49854289211</c:v>
                </c:pt>
                <c:pt idx="51">
                  <c:v>269928.35268500034</c:v>
                </c:pt>
                <c:pt idx="52">
                  <c:v>267442.05221162044</c:v>
                </c:pt>
                <c:pt idx="53">
                  <c:v>264866.52958861901</c:v>
                </c:pt>
                <c:pt idx="54">
                  <c:v>262195.53165415145</c:v>
                </c:pt>
                <c:pt idx="55">
                  <c:v>259422.61126333397</c:v>
                </c:pt>
                <c:pt idx="56">
                  <c:v>256541.1188115995</c:v>
                </c:pt>
                <c:pt idx="57">
                  <c:v>253544.19362435659</c:v>
                </c:pt>
                <c:pt idx="58">
                  <c:v>250424.75520133469</c:v>
                </c:pt>
                <c:pt idx="59">
                  <c:v>247175.49430466082</c:v>
                </c:pt>
                <c:pt idx="60">
                  <c:v>243788.86388028748</c:v>
                </c:pt>
                <c:pt idx="61">
                  <c:v>240257.0698028811</c:v>
                </c:pt>
                <c:pt idx="62">
                  <c:v>236572.06143471462</c:v>
                </c:pt>
                <c:pt idx="63">
                  <c:v>232725.52198947591</c:v>
                </c:pt>
                <c:pt idx="64">
                  <c:v>228708.8586922203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4-4CD1-B72E-2E4497C14F12}"/>
            </c:ext>
          </c:extLst>
        </c:ser>
        <c:ser>
          <c:idx val="1"/>
          <c:order val="1"/>
          <c:tx>
            <c:v>H=1500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EDisponible!$C$20:$C$84</c:f>
              <c:numCache>
                <c:formatCode>General</c:formatCode>
                <c:ptCount val="65"/>
                <c:pt idx="0">
                  <c:v>5.9580898504096855E-2</c:v>
                </c:pt>
                <c:pt idx="1">
                  <c:v>7.4476123130121072E-2</c:v>
                </c:pt>
                <c:pt idx="2">
                  <c:v>8.9371347756145275E-2</c:v>
                </c:pt>
                <c:pt idx="3">
                  <c:v>0.10426657238216949</c:v>
                </c:pt>
                <c:pt idx="4">
                  <c:v>0.11916179700819371</c:v>
                </c:pt>
                <c:pt idx="5">
                  <c:v>0.13405702163421793</c:v>
                </c:pt>
                <c:pt idx="6">
                  <c:v>0.14895224626024214</c:v>
                </c:pt>
                <c:pt idx="7">
                  <c:v>0.16384747088626636</c:v>
                </c:pt>
                <c:pt idx="8">
                  <c:v>0.17874269551229055</c:v>
                </c:pt>
                <c:pt idx="9">
                  <c:v>0.19363792013831477</c:v>
                </c:pt>
                <c:pt idx="10">
                  <c:v>0.20853314476433898</c:v>
                </c:pt>
                <c:pt idx="11">
                  <c:v>0.2234283693903632</c:v>
                </c:pt>
                <c:pt idx="12">
                  <c:v>0.23832359401638742</c:v>
                </c:pt>
                <c:pt idx="13">
                  <c:v>0.25321881864241164</c:v>
                </c:pt>
                <c:pt idx="14">
                  <c:v>0.26811404326843585</c:v>
                </c:pt>
                <c:pt idx="15">
                  <c:v>0.28300926789446007</c:v>
                </c:pt>
                <c:pt idx="16">
                  <c:v>0.29790449252048429</c:v>
                </c:pt>
                <c:pt idx="17">
                  <c:v>0.3127997171465085</c:v>
                </c:pt>
                <c:pt idx="18">
                  <c:v>0.32769494177253272</c:v>
                </c:pt>
                <c:pt idx="19">
                  <c:v>0.34259016639855688</c:v>
                </c:pt>
                <c:pt idx="20">
                  <c:v>0.3574853910245811</c:v>
                </c:pt>
                <c:pt idx="21">
                  <c:v>0.37238061565060532</c:v>
                </c:pt>
                <c:pt idx="22">
                  <c:v>0.38727584027662953</c:v>
                </c:pt>
                <c:pt idx="23">
                  <c:v>0.40217106490265375</c:v>
                </c:pt>
                <c:pt idx="24">
                  <c:v>0.41706628952867797</c:v>
                </c:pt>
                <c:pt idx="25">
                  <c:v>0.43196151415470219</c:v>
                </c:pt>
                <c:pt idx="26">
                  <c:v>0.4468567387807264</c:v>
                </c:pt>
                <c:pt idx="27">
                  <c:v>0.46175196340675062</c:v>
                </c:pt>
                <c:pt idx="28">
                  <c:v>0.47664718803277484</c:v>
                </c:pt>
                <c:pt idx="29">
                  <c:v>0.49154241265879905</c:v>
                </c:pt>
                <c:pt idx="30">
                  <c:v>0.50643763728482327</c:v>
                </c:pt>
                <c:pt idx="31">
                  <c:v>0.52133286191084749</c:v>
                </c:pt>
                <c:pt idx="32">
                  <c:v>0.53622808653687171</c:v>
                </c:pt>
                <c:pt idx="33">
                  <c:v>0.55112331116289592</c:v>
                </c:pt>
                <c:pt idx="34">
                  <c:v>0.56601853578892014</c:v>
                </c:pt>
                <c:pt idx="35">
                  <c:v>0.58091376041494436</c:v>
                </c:pt>
                <c:pt idx="36">
                  <c:v>0.59580898504096858</c:v>
                </c:pt>
                <c:pt idx="37">
                  <c:v>0.61070420966699279</c:v>
                </c:pt>
                <c:pt idx="38">
                  <c:v>0.62559943429301701</c:v>
                </c:pt>
                <c:pt idx="39">
                  <c:v>0.64049465891904123</c:v>
                </c:pt>
                <c:pt idx="40">
                  <c:v>0.65538988354506544</c:v>
                </c:pt>
                <c:pt idx="41">
                  <c:v>0.67028510817108966</c:v>
                </c:pt>
                <c:pt idx="42">
                  <c:v>0.68518033279711377</c:v>
                </c:pt>
                <c:pt idx="43">
                  <c:v>0.70007555742313798</c:v>
                </c:pt>
                <c:pt idx="44">
                  <c:v>0.7149707820491622</c:v>
                </c:pt>
                <c:pt idx="45">
                  <c:v>0.72986600667518642</c:v>
                </c:pt>
                <c:pt idx="46">
                  <c:v>0.74476123130121064</c:v>
                </c:pt>
                <c:pt idx="47">
                  <c:v>0.75965645592723485</c:v>
                </c:pt>
                <c:pt idx="48">
                  <c:v>0.77455168055325907</c:v>
                </c:pt>
                <c:pt idx="49">
                  <c:v>0.78944690517928329</c:v>
                </c:pt>
                <c:pt idx="50">
                  <c:v>0.8043421298053075</c:v>
                </c:pt>
                <c:pt idx="51">
                  <c:v>0.81923735443133172</c:v>
                </c:pt>
                <c:pt idx="52">
                  <c:v>0.83413257905735594</c:v>
                </c:pt>
                <c:pt idx="53">
                  <c:v>0.84902780368338016</c:v>
                </c:pt>
                <c:pt idx="54">
                  <c:v>0.86392302830940437</c:v>
                </c:pt>
                <c:pt idx="55">
                  <c:v>0.87881825293542859</c:v>
                </c:pt>
                <c:pt idx="56">
                  <c:v>0.89371347756145281</c:v>
                </c:pt>
                <c:pt idx="57">
                  <c:v>0.90860870218747702</c:v>
                </c:pt>
                <c:pt idx="58">
                  <c:v>0.92350392681350124</c:v>
                </c:pt>
                <c:pt idx="59">
                  <c:v>0.93839915143952546</c:v>
                </c:pt>
                <c:pt idx="60">
                  <c:v>0.95329437606554968</c:v>
                </c:pt>
                <c:pt idx="61">
                  <c:v>0.96818960069157389</c:v>
                </c:pt>
                <c:pt idx="62">
                  <c:v>0.98308482531759811</c:v>
                </c:pt>
                <c:pt idx="63">
                  <c:v>0.99798004994362233</c:v>
                </c:pt>
                <c:pt idx="64">
                  <c:v>1.0128752745696465</c:v>
                </c:pt>
              </c:numCache>
            </c:numRef>
          </c:xVal>
          <c:yVal>
            <c:numRef>
              <c:f>EDisponible!$V$20:$V$84</c:f>
              <c:numCache>
                <c:formatCode>General</c:formatCode>
                <c:ptCount val="65"/>
                <c:pt idx="0">
                  <c:v>334236.46517328115</c:v>
                </c:pt>
                <c:pt idx="1">
                  <c:v>329339.72843682423</c:v>
                </c:pt>
                <c:pt idx="2">
                  <c:v>325045.46704388177</c:v>
                </c:pt>
                <c:pt idx="3">
                  <c:v>321226.93330681021</c:v>
                </c:pt>
                <c:pt idx="4">
                  <c:v>317800.95200322341</c:v>
                </c:pt>
                <c:pt idx="5">
                  <c:v>314709.30068997206</c:v>
                </c:pt>
                <c:pt idx="6">
                  <c:v>311909.24120599497</c:v>
                </c:pt>
                <c:pt idx="7">
                  <c:v>309368.23837693606</c:v>
                </c:pt>
                <c:pt idx="8">
                  <c:v>307060.80180438125</c:v>
                </c:pt>
                <c:pt idx="9">
                  <c:v>304966.49141260918</c:v>
                </c:pt>
                <c:pt idx="10">
                  <c:v>303068.60131779587</c:v>
                </c:pt>
                <c:pt idx="11">
                  <c:v>301353.2592546143</c:v>
                </c:pt>
                <c:pt idx="12">
                  <c:v>299808.79130058875</c:v>
                </c:pt>
                <c:pt idx="13">
                  <c:v>298425.26196016144</c:v>
                </c:pt>
                <c:pt idx="14">
                  <c:v>297194.13365650852</c:v>
                </c:pt>
                <c:pt idx="15">
                  <c:v>296108.00965019141</c:v>
                </c:pt>
                <c:pt idx="16">
                  <c:v>295160.4365717147</c:v>
                </c:pt>
                <c:pt idx="17">
                  <c:v>294345.7504059567</c:v>
                </c:pt>
                <c:pt idx="18">
                  <c:v>293658.95471207483</c:v>
                </c:pt>
                <c:pt idx="19">
                  <c:v>293095.62313872651</c:v>
                </c:pt>
                <c:pt idx="20">
                  <c:v>292651.82051278109</c:v>
                </c:pt>
                <c:pt idx="21">
                  <c:v>292324.03831155412</c:v>
                </c:pt>
                <c:pt idx="22">
                  <c:v>292109.14140531869</c:v>
                </c:pt>
                <c:pt idx="23">
                  <c:v>292004.32372599276</c:v>
                </c:pt>
                <c:pt idx="24">
                  <c:v>291595.62480559025</c:v>
                </c:pt>
                <c:pt idx="25">
                  <c:v>290027.42136903282</c:v>
                </c:pt>
                <c:pt idx="26">
                  <c:v>288499.48121639621</c:v>
                </c:pt>
                <c:pt idx="27">
                  <c:v>287008.0270815554</c:v>
                </c:pt>
                <c:pt idx="28">
                  <c:v>285549.36494093604</c:v>
                </c:pt>
                <c:pt idx="29">
                  <c:v>284119.86536267243</c:v>
                </c:pt>
                <c:pt idx="30">
                  <c:v>282715.94689293788</c:v>
                </c:pt>
                <c:pt idx="31">
                  <c:v>281334.0611324808</c:v>
                </c:pt>
                <c:pt idx="32">
                  <c:v>279970.6792199199</c:v>
                </c:pt>
                <c:pt idx="33">
                  <c:v>278622.27948873327</c:v>
                </c:pt>
                <c:pt idx="34">
                  <c:v>277285.33610509167</c:v>
                </c:pt>
                <c:pt idx="35">
                  <c:v>275956.30852601147</c:v>
                </c:pt>
                <c:pt idx="36">
                  <c:v>274631.63164343429</c:v>
                </c:pt>
                <c:pt idx="37">
                  <c:v>273307.7065010877</c:v>
                </c:pt>
                <c:pt idx="38">
                  <c:v>271980.89148835442</c:v>
                </c:pt>
                <c:pt idx="39">
                  <c:v>270647.49392964615</c:v>
                </c:pt>
                <c:pt idx="40">
                  <c:v>269303.76199956052</c:v>
                </c:pt>
                <c:pt idx="41">
                  <c:v>267945.87690387352</c:v>
                </c:pt>
                <c:pt idx="42">
                  <c:v>266569.94527454727</c:v>
                </c:pt>
                <c:pt idx="43">
                  <c:v>265171.99173374608</c:v>
                </c:pt>
                <c:pt idx="44">
                  <c:v>263747.9515875504</c:v>
                </c:pt>
                <c:pt idx="45">
                  <c:v>262293.66361487116</c:v>
                </c:pt>
                <c:pt idx="46">
                  <c:v>260804.86292112892</c:v>
                </c:pt>
                <c:pt idx="47">
                  <c:v>259277.17382969995</c:v>
                </c:pt>
                <c:pt idx="48">
                  <c:v>257706.10278705705</c:v>
                </c:pt>
                <c:pt idx="49">
                  <c:v>256087.03126003058</c:v>
                </c:pt>
                <c:pt idx="50">
                  <c:v>254415.20860573874</c:v>
                </c:pt>
                <c:pt idx="51">
                  <c:v>252685.74489656027</c:v>
                </c:pt>
                <c:pt idx="52">
                  <c:v>250893.60368409174</c:v>
                </c:pt>
                <c:pt idx="53">
                  <c:v>249033.59468736945</c:v>
                </c:pt>
                <c:pt idx="54">
                  <c:v>247100.3663917993</c:v>
                </c:pt>
                <c:pt idx="55">
                  <c:v>245088.39854622984</c:v>
                </c:pt>
                <c:pt idx="56">
                  <c:v>242991.99454647326</c:v>
                </c:pt>
                <c:pt idx="57">
                  <c:v>240805.27369431366</c:v>
                </c:pt>
                <c:pt idx="58">
                  <c:v>238522.16332169148</c:v>
                </c:pt>
                <c:pt idx="59">
                  <c:v>236136.39077031068</c:v>
                </c:pt>
                <c:pt idx="60">
                  <c:v>233641.47521738583</c:v>
                </c:pt>
                <c:pt idx="61">
                  <c:v>231030.71933867698</c:v>
                </c:pt>
                <c:pt idx="62">
                  <c:v>228297.20080030622</c:v>
                </c:pt>
                <c:pt idx="63">
                  <c:v>225433.76357116643</c:v>
                </c:pt>
                <c:pt idx="64">
                  <c:v>222433.00904799977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4-4CD1-B72E-2E4497C14F12}"/>
            </c:ext>
          </c:extLst>
        </c:ser>
        <c:ser>
          <c:idx val="2"/>
          <c:order val="2"/>
          <c:tx>
            <c:v>H=3000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EDisponible!$D$20:$D$84</c:f>
              <c:numCache>
                <c:formatCode>General</c:formatCode>
                <c:ptCount val="65"/>
                <c:pt idx="0">
                  <c:v>6.0652435028524965E-2</c:v>
                </c:pt>
                <c:pt idx="1">
                  <c:v>7.5815543785656206E-2</c:v>
                </c:pt>
                <c:pt idx="2">
                  <c:v>9.0978652542787447E-2</c:v>
                </c:pt>
                <c:pt idx="3">
                  <c:v>0.10614176129991869</c:v>
                </c:pt>
                <c:pt idx="4">
                  <c:v>0.12130487005704993</c:v>
                </c:pt>
                <c:pt idx="5">
                  <c:v>0.13646797881418118</c:v>
                </c:pt>
                <c:pt idx="6">
                  <c:v>0.15163108757131241</c:v>
                </c:pt>
                <c:pt idx="7">
                  <c:v>0.16679419632844367</c:v>
                </c:pt>
                <c:pt idx="8">
                  <c:v>0.18195730508557489</c:v>
                </c:pt>
                <c:pt idx="9">
                  <c:v>0.19712041384270615</c:v>
                </c:pt>
                <c:pt idx="10">
                  <c:v>0.21228352259983738</c:v>
                </c:pt>
                <c:pt idx="11">
                  <c:v>0.22744663135696863</c:v>
                </c:pt>
                <c:pt idx="12">
                  <c:v>0.24260974011409986</c:v>
                </c:pt>
                <c:pt idx="13">
                  <c:v>0.25777284887123109</c:v>
                </c:pt>
                <c:pt idx="14">
                  <c:v>0.27293595762836237</c:v>
                </c:pt>
                <c:pt idx="15">
                  <c:v>0.2880990663854936</c:v>
                </c:pt>
                <c:pt idx="16">
                  <c:v>0.30326217514262482</c:v>
                </c:pt>
                <c:pt idx="17">
                  <c:v>0.31842528389975605</c:v>
                </c:pt>
                <c:pt idx="18">
                  <c:v>0.33358839265688733</c:v>
                </c:pt>
                <c:pt idx="19">
                  <c:v>0.34875150141401856</c:v>
                </c:pt>
                <c:pt idx="20">
                  <c:v>0.36391461017114979</c:v>
                </c:pt>
                <c:pt idx="21">
                  <c:v>0.37907771892828102</c:v>
                </c:pt>
                <c:pt idx="22">
                  <c:v>0.3942408276854123</c:v>
                </c:pt>
                <c:pt idx="23">
                  <c:v>0.40940393644254353</c:v>
                </c:pt>
                <c:pt idx="24">
                  <c:v>0.42456704519967475</c:v>
                </c:pt>
                <c:pt idx="25">
                  <c:v>0.43973015395680598</c:v>
                </c:pt>
                <c:pt idx="26">
                  <c:v>0.45489326271393726</c:v>
                </c:pt>
                <c:pt idx="27">
                  <c:v>0.47005637147106849</c:v>
                </c:pt>
                <c:pt idx="28">
                  <c:v>0.48521948022819972</c:v>
                </c:pt>
                <c:pt idx="29">
                  <c:v>0.50038258898533094</c:v>
                </c:pt>
                <c:pt idx="30">
                  <c:v>0.51554569774246217</c:v>
                </c:pt>
                <c:pt idx="31">
                  <c:v>0.5307088064995934</c:v>
                </c:pt>
                <c:pt idx="32">
                  <c:v>0.54587191525672474</c:v>
                </c:pt>
                <c:pt idx="33">
                  <c:v>0.56103502401385597</c:v>
                </c:pt>
                <c:pt idx="34">
                  <c:v>0.57619813277098719</c:v>
                </c:pt>
                <c:pt idx="35">
                  <c:v>0.59136124152811842</c:v>
                </c:pt>
                <c:pt idx="36">
                  <c:v>0.60652435028524965</c:v>
                </c:pt>
                <c:pt idx="37">
                  <c:v>0.62168745904238087</c:v>
                </c:pt>
                <c:pt idx="38">
                  <c:v>0.6368505677995121</c:v>
                </c:pt>
                <c:pt idx="39">
                  <c:v>0.65201367655664333</c:v>
                </c:pt>
                <c:pt idx="40">
                  <c:v>0.66717678531377467</c:v>
                </c:pt>
                <c:pt idx="41">
                  <c:v>0.68233989407090589</c:v>
                </c:pt>
                <c:pt idx="42">
                  <c:v>0.69750300282803712</c:v>
                </c:pt>
                <c:pt idx="43">
                  <c:v>0.71266611158516835</c:v>
                </c:pt>
                <c:pt idx="44">
                  <c:v>0.72782922034229958</c:v>
                </c:pt>
                <c:pt idx="45">
                  <c:v>0.7429923290994308</c:v>
                </c:pt>
                <c:pt idx="46">
                  <c:v>0.75815543785656203</c:v>
                </c:pt>
                <c:pt idx="47">
                  <c:v>0.77331854661369326</c:v>
                </c:pt>
                <c:pt idx="48">
                  <c:v>0.7884816553708246</c:v>
                </c:pt>
                <c:pt idx="49">
                  <c:v>0.80364476412795582</c:v>
                </c:pt>
                <c:pt idx="50">
                  <c:v>0.81880787288508705</c:v>
                </c:pt>
                <c:pt idx="51">
                  <c:v>0.83397098164221828</c:v>
                </c:pt>
                <c:pt idx="52">
                  <c:v>0.84913409039934951</c:v>
                </c:pt>
                <c:pt idx="53">
                  <c:v>0.86429719915648073</c:v>
                </c:pt>
                <c:pt idx="54">
                  <c:v>0.87946030791361196</c:v>
                </c:pt>
                <c:pt idx="55">
                  <c:v>0.89462341667074319</c:v>
                </c:pt>
                <c:pt idx="56">
                  <c:v>0.90978652542787453</c:v>
                </c:pt>
                <c:pt idx="57">
                  <c:v>0.92494963418500575</c:v>
                </c:pt>
                <c:pt idx="58">
                  <c:v>0.94011274294213698</c:v>
                </c:pt>
                <c:pt idx="59">
                  <c:v>0.95527585169926821</c:v>
                </c:pt>
                <c:pt idx="60">
                  <c:v>0.97043896045639944</c:v>
                </c:pt>
                <c:pt idx="61">
                  <c:v>0.98560206921353066</c:v>
                </c:pt>
                <c:pt idx="62">
                  <c:v>1.0007651779706619</c:v>
                </c:pt>
                <c:pt idx="63">
                  <c:v>1.0159282867277932</c:v>
                </c:pt>
                <c:pt idx="64">
                  <c:v>1.0310913954849243</c:v>
                </c:pt>
              </c:numCache>
            </c:numRef>
          </c:xVal>
          <c:yVal>
            <c:numRef>
              <c:f>EDisponible!$AB$20:$AB$84</c:f>
              <c:numCache>
                <c:formatCode>General</c:formatCode>
                <c:ptCount val="65"/>
                <c:pt idx="0">
                  <c:v>276862.60412427573</c:v>
                </c:pt>
                <c:pt idx="1">
                  <c:v>272775.07142245333</c:v>
                </c:pt>
                <c:pt idx="2">
                  <c:v>269193.45778318925</c:v>
                </c:pt>
                <c:pt idx="3">
                  <c:v>266011.64432018233</c:v>
                </c:pt>
                <c:pt idx="4">
                  <c:v>263159.97879810218</c:v>
                </c:pt>
                <c:pt idx="5">
                  <c:v>260589.69493708402</c:v>
                </c:pt>
                <c:pt idx="6">
                  <c:v>258264.98898923802</c:v>
                </c:pt>
                <c:pt idx="7">
                  <c:v>256158.60003845178</c:v>
                </c:pt>
                <c:pt idx="8">
                  <c:v>254249.16687711369</c:v>
                </c:pt>
                <c:pt idx="9">
                  <c:v>252519.55873164773</c:v>
                </c:pt>
                <c:pt idx="10">
                  <c:v>250955.77363614019</c:v>
                </c:pt>
                <c:pt idx="11">
                  <c:v>249546.18457401154</c:v>
                </c:pt>
                <c:pt idx="12">
                  <c:v>248281.00764869625</c:v>
                </c:pt>
                <c:pt idx="13">
                  <c:v>247151.91702030363</c:v>
                </c:pt>
                <c:pt idx="14">
                  <c:v>246151.75978462372</c:v>
                </c:pt>
                <c:pt idx="15">
                  <c:v>245274.34068283299</c:v>
                </c:pt>
                <c:pt idx="16">
                  <c:v>244514.25671274634</c:v>
                </c:pt>
                <c:pt idx="17">
                  <c:v>243866.76811507836</c:v>
                </c:pt>
                <c:pt idx="18">
                  <c:v>243327.6963469839</c:v>
                </c:pt>
                <c:pt idx="19">
                  <c:v>242893.34239698388</c:v>
                </c:pt>
                <c:pt idx="20">
                  <c:v>242560.42065191231</c:v>
                </c:pt>
                <c:pt idx="21">
                  <c:v>242326.00480857198</c:v>
                </c:pt>
                <c:pt idx="22">
                  <c:v>242187.48322394607</c:v>
                </c:pt>
                <c:pt idx="23">
                  <c:v>242142.52174157125</c:v>
                </c:pt>
                <c:pt idx="24">
                  <c:v>242189.03249833838</c:v>
                </c:pt>
                <c:pt idx="25">
                  <c:v>242325.14755887157</c:v>
                </c:pt>
                <c:pt idx="26">
                  <c:v>242549.19647972318</c:v>
                </c:pt>
                <c:pt idx="27">
                  <c:v>242859.68709754501</c:v>
                </c:pt>
                <c:pt idx="28">
                  <c:v>243255.28898137427</c:v>
                </c:pt>
                <c:pt idx="29">
                  <c:v>243734.81910126211</c:v>
                </c:pt>
                <c:pt idx="30">
                  <c:v>244297.22935235463</c:v>
                </c:pt>
                <c:pt idx="31">
                  <c:v>244941.59564145177</c:v>
                </c:pt>
                <c:pt idx="32">
                  <c:v>245667.10829658582</c:v>
                </c:pt>
                <c:pt idx="33">
                  <c:v>246473.06360264076</c:v>
                </c:pt>
                <c:pt idx="34">
                  <c:v>247358.85630000907</c:v>
                </c:pt>
                <c:pt idx="35">
                  <c:v>248323.97291061073</c:v>
                </c:pt>
                <c:pt idx="36">
                  <c:v>247853.48950802637</c:v>
                </c:pt>
                <c:pt idx="37">
                  <c:v>246913.9909916769</c:v>
                </c:pt>
                <c:pt idx="38">
                  <c:v>245979.33705203244</c:v>
                </c:pt>
                <c:pt idx="39">
                  <c:v>245046.39460820096</c:v>
                </c:pt>
                <c:pt idx="40">
                  <c:v>244111.981760155</c:v>
                </c:pt>
                <c:pt idx="41">
                  <c:v>243172.86091096228</c:v>
                </c:pt>
                <c:pt idx="42">
                  <c:v>242225.73206459556</c:v>
                </c:pt>
                <c:pt idx="43">
                  <c:v>241267.22626109983</c:v>
                </c:pt>
                <c:pt idx="44">
                  <c:v>240293.89911567181</c:v>
                </c:pt>
                <c:pt idx="45">
                  <c:v>239302.2244322428</c:v>
                </c:pt>
                <c:pt idx="46">
                  <c:v>238288.58786555473</c:v>
                </c:pt>
                <c:pt idx="47">
                  <c:v>237249.2806086106</c:v>
                </c:pt>
                <c:pt idx="48">
                  <c:v>236180.49308482822</c:v>
                </c:pt>
                <c:pt idx="49">
                  <c:v>235078.30862631954</c:v>
                </c:pt>
                <c:pt idx="50">
                  <c:v>233938.69712150196</c:v>
                </c:pt>
                <c:pt idx="51">
                  <c:v>232757.50861677658</c:v>
                </c:pt>
                <c:pt idx="52">
                  <c:v>231530.46685831877</c:v>
                </c:pt>
                <c:pt idx="53">
                  <c:v>230253.16276115685</c:v>
                </c:pt>
                <c:pt idx="54">
                  <c:v>228921.04779367952</c:v>
                </c:pt>
                <c:pt idx="55">
                  <c:v>227529.42726655334</c:v>
                </c:pt>
                <c:pt idx="56">
                  <c:v>226073.45351574896</c:v>
                </c:pt>
                <c:pt idx="57">
                  <c:v>224548.11897000103</c:v>
                </c:pt>
                <c:pt idx="58">
                  <c:v>222948.24909356178</c:v>
                </c:pt>
                <c:pt idx="59">
                  <c:v>221268.49519557614</c:v>
                </c:pt>
                <c:pt idx="60">
                  <c:v>219503.32709780298</c:v>
                </c:pt>
                <c:pt idx="61">
                  <c:v>217647.02565276122</c:v>
                </c:pt>
                <c:pt idx="62">
                  <c:v>215693.67510467014</c:v>
                </c:pt>
                <c:pt idx="63">
                  <c:v>213637.15528581769</c:v>
                </c:pt>
                <c:pt idx="64">
                  <c:v>211471.13364120925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04-4CD1-B72E-2E4497C14F12}"/>
            </c:ext>
          </c:extLst>
        </c:ser>
        <c:ser>
          <c:idx val="3"/>
          <c:order val="3"/>
          <c:tx>
            <c:v>H=4500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EDisponible!$E$20:$E$84</c:f>
              <c:numCache>
                <c:formatCode>General</c:formatCode>
                <c:ptCount val="65"/>
                <c:pt idx="0">
                  <c:v>6.1783945468758733E-2</c:v>
                </c:pt>
                <c:pt idx="1">
                  <c:v>7.7229931835948409E-2</c:v>
                </c:pt>
                <c:pt idx="2">
                  <c:v>9.26759182031381E-2</c:v>
                </c:pt>
                <c:pt idx="3">
                  <c:v>0.10812190457032778</c:v>
                </c:pt>
                <c:pt idx="4">
                  <c:v>0.12356789093751747</c:v>
                </c:pt>
                <c:pt idx="5">
                  <c:v>0.13901387730470716</c:v>
                </c:pt>
                <c:pt idx="6">
                  <c:v>0.15445986367189682</c:v>
                </c:pt>
                <c:pt idx="7">
                  <c:v>0.16990585003908651</c:v>
                </c:pt>
                <c:pt idx="8">
                  <c:v>0.1853518364062762</c:v>
                </c:pt>
                <c:pt idx="9">
                  <c:v>0.20079782277346589</c:v>
                </c:pt>
                <c:pt idx="10">
                  <c:v>0.21624380914065555</c:v>
                </c:pt>
                <c:pt idx="11">
                  <c:v>0.23168979550784524</c:v>
                </c:pt>
                <c:pt idx="12">
                  <c:v>0.24713578187503493</c:v>
                </c:pt>
                <c:pt idx="13">
                  <c:v>0.26258176824222462</c:v>
                </c:pt>
                <c:pt idx="14">
                  <c:v>0.27802775460941431</c:v>
                </c:pt>
                <c:pt idx="15">
                  <c:v>0.29347374097660395</c:v>
                </c:pt>
                <c:pt idx="16">
                  <c:v>0.30891972734379364</c:v>
                </c:pt>
                <c:pt idx="17">
                  <c:v>0.32436571371098333</c:v>
                </c:pt>
                <c:pt idx="18">
                  <c:v>0.33981170007817302</c:v>
                </c:pt>
                <c:pt idx="19">
                  <c:v>0.35525768644536271</c:v>
                </c:pt>
                <c:pt idx="20">
                  <c:v>0.3707036728125524</c:v>
                </c:pt>
                <c:pt idx="21">
                  <c:v>0.38614965917974209</c:v>
                </c:pt>
                <c:pt idx="22">
                  <c:v>0.40159564554693178</c:v>
                </c:pt>
                <c:pt idx="23">
                  <c:v>0.41704163191412141</c:v>
                </c:pt>
                <c:pt idx="24">
                  <c:v>0.4324876182813111</c:v>
                </c:pt>
                <c:pt idx="25">
                  <c:v>0.44793360464850079</c:v>
                </c:pt>
                <c:pt idx="26">
                  <c:v>0.46337959101569048</c:v>
                </c:pt>
                <c:pt idx="27">
                  <c:v>0.47882557738288017</c:v>
                </c:pt>
                <c:pt idx="28">
                  <c:v>0.49427156375006986</c:v>
                </c:pt>
                <c:pt idx="29">
                  <c:v>0.5097175501172595</c:v>
                </c:pt>
                <c:pt idx="30">
                  <c:v>0.52516353648444924</c:v>
                </c:pt>
                <c:pt idx="31">
                  <c:v>0.54060952285163888</c:v>
                </c:pt>
                <c:pt idx="32">
                  <c:v>0.55605550921882863</c:v>
                </c:pt>
                <c:pt idx="33">
                  <c:v>0.57150149558601826</c:v>
                </c:pt>
                <c:pt idx="34">
                  <c:v>0.58694748195320789</c:v>
                </c:pt>
                <c:pt idx="35">
                  <c:v>0.60239346832039764</c:v>
                </c:pt>
                <c:pt idx="36">
                  <c:v>0.61783945468758728</c:v>
                </c:pt>
                <c:pt idx="37">
                  <c:v>0.63328544105477702</c:v>
                </c:pt>
                <c:pt idx="38">
                  <c:v>0.64873142742196666</c:v>
                </c:pt>
                <c:pt idx="39">
                  <c:v>0.6641774137891564</c:v>
                </c:pt>
                <c:pt idx="40">
                  <c:v>0.67962340015634604</c:v>
                </c:pt>
                <c:pt idx="41">
                  <c:v>0.69506938652353578</c:v>
                </c:pt>
                <c:pt idx="42">
                  <c:v>0.71051537289072542</c:v>
                </c:pt>
                <c:pt idx="43">
                  <c:v>0.72596135925791505</c:v>
                </c:pt>
                <c:pt idx="44">
                  <c:v>0.7414073456251048</c:v>
                </c:pt>
                <c:pt idx="45">
                  <c:v>0.75685333199229443</c:v>
                </c:pt>
                <c:pt idx="46">
                  <c:v>0.77229931835948418</c:v>
                </c:pt>
                <c:pt idx="47">
                  <c:v>0.78774530472667381</c:v>
                </c:pt>
                <c:pt idx="48">
                  <c:v>0.80319129109386356</c:v>
                </c:pt>
                <c:pt idx="49">
                  <c:v>0.81863727746105319</c:v>
                </c:pt>
                <c:pt idx="50">
                  <c:v>0.83408326382824283</c:v>
                </c:pt>
                <c:pt idx="51">
                  <c:v>0.84952925019543257</c:v>
                </c:pt>
                <c:pt idx="52">
                  <c:v>0.86497523656262221</c:v>
                </c:pt>
                <c:pt idx="53">
                  <c:v>0.88042122292981195</c:v>
                </c:pt>
                <c:pt idx="54">
                  <c:v>0.89586720929700159</c:v>
                </c:pt>
                <c:pt idx="55">
                  <c:v>0.91131319566419133</c:v>
                </c:pt>
                <c:pt idx="56">
                  <c:v>0.92675918203138097</c:v>
                </c:pt>
                <c:pt idx="57">
                  <c:v>0.9422051683985706</c:v>
                </c:pt>
                <c:pt idx="58">
                  <c:v>0.95765115476576035</c:v>
                </c:pt>
                <c:pt idx="59">
                  <c:v>0.97309714113294998</c:v>
                </c:pt>
                <c:pt idx="60">
                  <c:v>0.98854312750013973</c:v>
                </c:pt>
                <c:pt idx="61">
                  <c:v>1.0039891138673294</c:v>
                </c:pt>
                <c:pt idx="62">
                  <c:v>1.019435100234519</c:v>
                </c:pt>
                <c:pt idx="63">
                  <c:v>1.0348810866017089</c:v>
                </c:pt>
                <c:pt idx="64">
                  <c:v>1.0503270729688985</c:v>
                </c:pt>
              </c:numCache>
            </c:numRef>
          </c:xVal>
          <c:yVal>
            <c:numRef>
              <c:f>EDisponible!$AH$20:$AH$84</c:f>
              <c:numCache>
                <c:formatCode>General</c:formatCode>
                <c:ptCount val="65"/>
                <c:pt idx="0">
                  <c:v>227745.37994044076</c:v>
                </c:pt>
                <c:pt idx="1">
                  <c:v>224356.24323601104</c:v>
                </c:pt>
                <c:pt idx="2">
                  <c:v>221389.24380271847</c:v>
                </c:pt>
                <c:pt idx="3">
                  <c:v>218756.1133526059</c:v>
                </c:pt>
                <c:pt idx="4">
                  <c:v>216398.90358652564</c:v>
                </c:pt>
                <c:pt idx="5">
                  <c:v>214277.03395216566</c:v>
                </c:pt>
                <c:pt idx="6">
                  <c:v>212360.70461323031</c:v>
                </c:pt>
                <c:pt idx="7">
                  <c:v>210627.22200372737</c:v>
                </c:pt>
                <c:pt idx="8">
                  <c:v>209058.801259806</c:v>
                </c:pt>
                <c:pt idx="9">
                  <c:v>207641.17824193768</c:v>
                </c:pt>
                <c:pt idx="10">
                  <c:v>206362.69347671335</c:v>
                </c:pt>
                <c:pt idx="11">
                  <c:v>205213.66523017568</c:v>
                </c:pt>
                <c:pt idx="12">
                  <c:v>204185.9471823184</c:v>
                </c:pt>
                <c:pt idx="13">
                  <c:v>203272.60813285236</c:v>
                </c:pt>
                <c:pt idx="14">
                  <c:v>202467.69481032461</c:v>
                </c:pt>
                <c:pt idx="15">
                  <c:v>201766.05274977986</c:v>
                </c:pt>
                <c:pt idx="16">
                  <c:v>201163.18866932034</c:v>
                </c:pt>
                <c:pt idx="17">
                  <c:v>200655.16309880713</c:v>
                </c:pt>
                <c:pt idx="18">
                  <c:v>200238.5054548867</c:v>
                </c:pt>
                <c:pt idx="19">
                  <c:v>199910.14603609068</c:v>
                </c:pt>
                <c:pt idx="20">
                  <c:v>199667.36095533319</c:v>
                </c:pt>
                <c:pt idx="21">
                  <c:v>199507.72709308294</c:v>
                </c:pt>
                <c:pt idx="22">
                  <c:v>199429.08490379006</c:v>
                </c:pt>
                <c:pt idx="23">
                  <c:v>199429.50744342734</c:v>
                </c:pt>
                <c:pt idx="24">
                  <c:v>199507.27437404735</c:v>
                </c:pt>
                <c:pt idx="25">
                  <c:v>199660.84998639708</c:v>
                </c:pt>
                <c:pt idx="26">
                  <c:v>199888.86449374186</c:v>
                </c:pt>
                <c:pt idx="27">
                  <c:v>200190.09800967755</c:v>
                </c:pt>
                <c:pt idx="28">
                  <c:v>200563.46674410003</c:v>
                </c:pt>
                <c:pt idx="29">
                  <c:v>201008.01104473195</c:v>
                </c:pt>
                <c:pt idx="30">
                  <c:v>201522.88498386682</c:v>
                </c:pt>
                <c:pt idx="31">
                  <c:v>202107.34724648451</c:v>
                </c:pt>
                <c:pt idx="32">
                  <c:v>202760.75312040147</c:v>
                </c:pt>
                <c:pt idx="33">
                  <c:v>203482.54742446353</c:v>
                </c:pt>
                <c:pt idx="34">
                  <c:v>204272.25823904554</c:v>
                </c:pt>
                <c:pt idx="35">
                  <c:v>205129.49132586599</c:v>
                </c:pt>
                <c:pt idx="36">
                  <c:v>206053.92514254642</c:v>
                </c:pt>
                <c:pt idx="37">
                  <c:v>207045.30637235235</c:v>
                </c:pt>
                <c:pt idx="38">
                  <c:v>208103.44590185027</c:v>
                </c:pt>
                <c:pt idx="39">
                  <c:v>209228.21518934079</c:v>
                </c:pt>
                <c:pt idx="40">
                  <c:v>210419.54297531708</c:v>
                </c:pt>
                <c:pt idx="41">
                  <c:v>211677.41229316397</c:v>
                </c:pt>
                <c:pt idx="42">
                  <c:v>213001.85774414925</c:v>
                </c:pt>
                <c:pt idx="43">
                  <c:v>214392.96300564011</c:v>
                </c:pt>
                <c:pt idx="44">
                  <c:v>215850.85854560675</c:v>
                </c:pt>
                <c:pt idx="45">
                  <c:v>215361.26124199288</c:v>
                </c:pt>
                <c:pt idx="46">
                  <c:v>214728.19023571484</c:v>
                </c:pt>
                <c:pt idx="47">
                  <c:v>214079.90882189752</c:v>
                </c:pt>
                <c:pt idx="48">
                  <c:v>213413.21323244835</c:v>
                </c:pt>
                <c:pt idx="49">
                  <c:v>212724.80839919843</c:v>
                </c:pt>
                <c:pt idx="50">
                  <c:v>212011.30231877591</c:v>
                </c:pt>
                <c:pt idx="51">
                  <c:v>211269.20037138966</c:v>
                </c:pt>
                <c:pt idx="52">
                  <c:v>210494.89958143531</c:v>
                </c:pt>
                <c:pt idx="53">
                  <c:v>209684.68280877228</c:v>
                </c:pt>
                <c:pt idx="54">
                  <c:v>208834.71286032625</c:v>
                </c:pt>
                <c:pt idx="55">
                  <c:v>207941.02651237269</c:v>
                </c:pt>
                <c:pt idx="56">
                  <c:v>206999.5284344517</c:v>
                </c:pt>
                <c:pt idx="57">
                  <c:v>206005.985006387</c:v>
                </c:pt>
                <c:pt idx="58">
                  <c:v>204956.01802032415</c:v>
                </c:pt>
                <c:pt idx="59">
                  <c:v>203845.09826009371</c:v>
                </c:pt>
                <c:pt idx="60">
                  <c:v>202668.53895053599</c:v>
                </c:pt>
                <c:pt idx="61">
                  <c:v>201421.48906970941</c:v>
                </c:pt>
                <c:pt idx="62">
                  <c:v>200098.92651715546</c:v>
                </c:pt>
                <c:pt idx="63">
                  <c:v>198695.65113160346</c:v>
                </c:pt>
                <c:pt idx="64">
                  <c:v>197206.27755167973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04-4CD1-B72E-2E4497C14F12}"/>
            </c:ext>
          </c:extLst>
        </c:ser>
        <c:ser>
          <c:idx val="4"/>
          <c:order val="4"/>
          <c:tx>
            <c:v>H=6000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EDisponible!$F$20:$F$84</c:f>
              <c:numCache>
                <c:formatCode>General</c:formatCode>
                <c:ptCount val="65"/>
                <c:pt idx="0">
                  <c:v>6.2981241599812374E-2</c:v>
                </c:pt>
                <c:pt idx="1">
                  <c:v>7.8726551999765471E-2</c:v>
                </c:pt>
                <c:pt idx="2">
                  <c:v>9.4471862399718567E-2</c:v>
                </c:pt>
                <c:pt idx="3">
                  <c:v>0.11021717279967166</c:v>
                </c:pt>
                <c:pt idx="4">
                  <c:v>0.12596248319962475</c:v>
                </c:pt>
                <c:pt idx="5">
                  <c:v>0.14170779359957786</c:v>
                </c:pt>
                <c:pt idx="6">
                  <c:v>0.15745310399953094</c:v>
                </c:pt>
                <c:pt idx="7">
                  <c:v>0.17319841439948405</c:v>
                </c:pt>
                <c:pt idx="8">
                  <c:v>0.18894372479943713</c:v>
                </c:pt>
                <c:pt idx="9">
                  <c:v>0.20468903519939025</c:v>
                </c:pt>
                <c:pt idx="10">
                  <c:v>0.22043434559934333</c:v>
                </c:pt>
                <c:pt idx="11">
                  <c:v>0.23617965599929644</c:v>
                </c:pt>
                <c:pt idx="12">
                  <c:v>0.25192496639924949</c:v>
                </c:pt>
                <c:pt idx="13">
                  <c:v>0.26767027679920263</c:v>
                </c:pt>
                <c:pt idx="14">
                  <c:v>0.28341558719915572</c:v>
                </c:pt>
                <c:pt idx="15">
                  <c:v>0.2991608975991088</c:v>
                </c:pt>
                <c:pt idx="16">
                  <c:v>0.31490620799906188</c:v>
                </c:pt>
                <c:pt idx="17">
                  <c:v>0.33065151839901502</c:v>
                </c:pt>
                <c:pt idx="18">
                  <c:v>0.3463968287989681</c:v>
                </c:pt>
                <c:pt idx="19">
                  <c:v>0.36214213919892119</c:v>
                </c:pt>
                <c:pt idx="20">
                  <c:v>0.37788744959887427</c:v>
                </c:pt>
                <c:pt idx="21">
                  <c:v>0.39363275999882735</c:v>
                </c:pt>
                <c:pt idx="22">
                  <c:v>0.40937807039878049</c:v>
                </c:pt>
                <c:pt idx="23">
                  <c:v>0.42512338079873357</c:v>
                </c:pt>
                <c:pt idx="24">
                  <c:v>0.44086869119868666</c:v>
                </c:pt>
                <c:pt idx="25">
                  <c:v>0.45661400159863974</c:v>
                </c:pt>
                <c:pt idx="26">
                  <c:v>0.47235931199859288</c:v>
                </c:pt>
                <c:pt idx="27">
                  <c:v>0.48810462239854596</c:v>
                </c:pt>
                <c:pt idx="28">
                  <c:v>0.50384993279849899</c:v>
                </c:pt>
                <c:pt idx="29">
                  <c:v>0.51959524319845218</c:v>
                </c:pt>
                <c:pt idx="30">
                  <c:v>0.53534055359840527</c:v>
                </c:pt>
                <c:pt idx="31">
                  <c:v>0.55108586399835835</c:v>
                </c:pt>
                <c:pt idx="32">
                  <c:v>0.56683117439831143</c:v>
                </c:pt>
                <c:pt idx="33">
                  <c:v>0.58257648479826452</c:v>
                </c:pt>
                <c:pt idx="34">
                  <c:v>0.5983217951982176</c:v>
                </c:pt>
                <c:pt idx="35">
                  <c:v>0.61406710559817068</c:v>
                </c:pt>
                <c:pt idx="36">
                  <c:v>0.62981241599812376</c:v>
                </c:pt>
                <c:pt idx="37">
                  <c:v>0.64555772639807685</c:v>
                </c:pt>
                <c:pt idx="38">
                  <c:v>0.66130303679803004</c:v>
                </c:pt>
                <c:pt idx="39">
                  <c:v>0.67704834719798312</c:v>
                </c:pt>
                <c:pt idx="40">
                  <c:v>0.69279365759793621</c:v>
                </c:pt>
                <c:pt idx="41">
                  <c:v>0.70853896799788929</c:v>
                </c:pt>
                <c:pt idx="42">
                  <c:v>0.72428427839784237</c:v>
                </c:pt>
                <c:pt idx="43">
                  <c:v>0.74002958879779546</c:v>
                </c:pt>
                <c:pt idx="44">
                  <c:v>0.75577489919774854</c:v>
                </c:pt>
                <c:pt idx="45">
                  <c:v>0.77152020959770162</c:v>
                </c:pt>
                <c:pt idx="46">
                  <c:v>0.78726551999765471</c:v>
                </c:pt>
                <c:pt idx="47">
                  <c:v>0.8030108303976079</c:v>
                </c:pt>
                <c:pt idx="48">
                  <c:v>0.81875614079756098</c:v>
                </c:pt>
                <c:pt idx="49">
                  <c:v>0.83450145119751407</c:v>
                </c:pt>
                <c:pt idx="50">
                  <c:v>0.85024676159746715</c:v>
                </c:pt>
                <c:pt idx="51">
                  <c:v>0.86599207199742023</c:v>
                </c:pt>
                <c:pt idx="52">
                  <c:v>0.88173738239737331</c:v>
                </c:pt>
                <c:pt idx="53">
                  <c:v>0.8974826927973264</c:v>
                </c:pt>
                <c:pt idx="54">
                  <c:v>0.91322800319727948</c:v>
                </c:pt>
                <c:pt idx="55">
                  <c:v>0.92897331359723256</c:v>
                </c:pt>
                <c:pt idx="56">
                  <c:v>0.94471862399718576</c:v>
                </c:pt>
                <c:pt idx="57">
                  <c:v>0.96046393439713884</c:v>
                </c:pt>
                <c:pt idx="58">
                  <c:v>0.97620924479709192</c:v>
                </c:pt>
                <c:pt idx="59">
                  <c:v>0.99195455519704501</c:v>
                </c:pt>
                <c:pt idx="60">
                  <c:v>1.007699865596998</c:v>
                </c:pt>
                <c:pt idx="61">
                  <c:v>1.0234451759969512</c:v>
                </c:pt>
                <c:pt idx="62">
                  <c:v>1.0391904863969044</c:v>
                </c:pt>
                <c:pt idx="63">
                  <c:v>1.0549357967968573</c:v>
                </c:pt>
                <c:pt idx="64">
                  <c:v>1.0706811071968105</c:v>
                </c:pt>
              </c:numCache>
            </c:numRef>
          </c:xVal>
          <c:yVal>
            <c:numRef>
              <c:f>EDisponible!$AN$20:$AN$84</c:f>
              <c:numCache>
                <c:formatCode>General</c:formatCode>
                <c:ptCount val="65"/>
                <c:pt idx="0">
                  <c:v>185941.95939726426</c:v>
                </c:pt>
                <c:pt idx="1">
                  <c:v>183152.21965319422</c:v>
                </c:pt>
                <c:pt idx="2">
                  <c:v>180712.3015169237</c:v>
                </c:pt>
                <c:pt idx="3">
                  <c:v>178549.29974566438</c:v>
                </c:pt>
                <c:pt idx="4">
                  <c:v>176615.34097112293</c:v>
                </c:pt>
                <c:pt idx="5">
                  <c:v>174876.89246838962</c:v>
                </c:pt>
                <c:pt idx="6">
                  <c:v>173309.32473766958</c:v>
                </c:pt>
                <c:pt idx="7">
                  <c:v>171893.8781792557</c:v>
                </c:pt>
                <c:pt idx="8">
                  <c:v>170615.84884167369</c:v>
                </c:pt>
                <c:pt idx="9">
                  <c:v>169463.4424599034</c:v>
                </c:pt>
                <c:pt idx="10">
                  <c:v>168427.01806229542</c:v>
                </c:pt>
                <c:pt idx="11">
                  <c:v>167498.57026508707</c:v>
                </c:pt>
                <c:pt idx="12">
                  <c:v>166671.36396846198</c:v>
                </c:pt>
                <c:pt idx="13">
                  <c:v>165939.66980350338</c:v>
                </c:pt>
                <c:pt idx="14">
                  <c:v>165298.56819453879</c:v>
                </c:pt>
                <c:pt idx="15">
                  <c:v>164743.80136962674</c:v>
                </c:pt>
                <c:pt idx="16">
                  <c:v>164271.65963975716</c:v>
                </c:pt>
                <c:pt idx="17">
                  <c:v>163878.89266139604</c:v>
                </c:pt>
                <c:pt idx="18">
                  <c:v>163562.63923757305</c:v>
                </c:pt>
                <c:pt idx="19">
                  <c:v>163320.37109459948</c:v>
                </c:pt>
                <c:pt idx="20">
                  <c:v>163149.84734582761</c:v>
                </c:pt>
                <c:pt idx="21">
                  <c:v>163049.07723391466</c:v>
                </c:pt>
                <c:pt idx="22">
                  <c:v>163016.28936169163</c:v>
                </c:pt>
                <c:pt idx="23">
                  <c:v>163049.90606369174</c:v>
                </c:pt>
                <c:pt idx="24">
                  <c:v>163148.52189079809</c:v>
                </c:pt>
                <c:pt idx="25">
                  <c:v>163310.88541590347</c:v>
                </c:pt>
                <c:pt idx="26">
                  <c:v>163535.88374363829</c:v>
                </c:pt>
                <c:pt idx="27">
                  <c:v>163822.52923902863</c:v>
                </c:pt>
                <c:pt idx="28">
                  <c:v>164169.948090199</c:v>
                </c:pt>
                <c:pt idx="29">
                  <c:v>164577.3703972279</c:v>
                </c:pt>
                <c:pt idx="30">
                  <c:v>165044.12153894731</c:v>
                </c:pt>
                <c:pt idx="31">
                  <c:v>165569.61461612998</c:v>
                </c:pt>
                <c:pt idx="32">
                  <c:v>166153.343806283</c:v>
                </c:pt>
                <c:pt idx="33">
                  <c:v>166794.87849445411</c:v>
                </c:pt>
                <c:pt idx="34">
                  <c:v>167493.8580678023</c:v>
                </c:pt>
                <c:pt idx="35">
                  <c:v>168249.98728047282</c:v>
                </c:pt>
                <c:pt idx="36">
                  <c:v>169063.03211053752</c:v>
                </c:pt>
                <c:pt idx="37">
                  <c:v>169932.81604315824</c:v>
                </c:pt>
                <c:pt idx="38">
                  <c:v>170859.21672429668</c:v>
                </c:pt>
                <c:pt idx="39">
                  <c:v>171842.16293765546</c:v>
                </c:pt>
                <c:pt idx="40">
                  <c:v>172881.6318644727</c:v>
                </c:pt>
                <c:pt idx="41">
                  <c:v>173977.64659154764</c:v>
                </c:pt>
                <c:pt idx="42">
                  <c:v>175130.27383769734</c:v>
                </c:pt>
                <c:pt idx="43">
                  <c:v>176339.62187288346</c:v>
                </c:pt>
                <c:pt idx="44">
                  <c:v>177605.8386076529</c:v>
                </c:pt>
                <c:pt idx="45">
                  <c:v>178929.10983342474</c:v>
                </c:pt>
                <c:pt idx="46">
                  <c:v>180309.65759659346</c:v>
                </c:pt>
                <c:pt idx="47">
                  <c:v>181747.73869151494</c:v>
                </c:pt>
                <c:pt idx="48">
                  <c:v>183243.64325921735</c:v>
                </c:pt>
                <c:pt idx="49">
                  <c:v>184797.69348021675</c:v>
                </c:pt>
                <c:pt idx="50">
                  <c:v>186410.24235112834</c:v>
                </c:pt>
                <c:pt idx="51">
                  <c:v>188081.67253590858</c:v>
                </c:pt>
                <c:pt idx="52">
                  <c:v>188722.16304514927</c:v>
                </c:pt>
                <c:pt idx="53">
                  <c:v>188279.2078179649</c:v>
                </c:pt>
                <c:pt idx="54">
                  <c:v>187808.65781557065</c:v>
                </c:pt>
                <c:pt idx="55">
                  <c:v>187307.19423498659</c:v>
                </c:pt>
                <c:pt idx="56">
                  <c:v>186771.38472992275</c:v>
                </c:pt>
                <c:pt idx="57">
                  <c:v>186197.67792052004</c:v>
                </c:pt>
                <c:pt idx="58">
                  <c:v>185582.39779743165</c:v>
                </c:pt>
                <c:pt idx="59">
                  <c:v>184921.73801343027</c:v>
                </c:pt>
                <c:pt idx="60">
                  <c:v>184211.75605600036</c:v>
                </c:pt>
                <c:pt idx="61">
                  <c:v>183448.36729461217</c:v>
                </c:pt>
                <c:pt idx="62">
                  <c:v>182627.33889657291</c:v>
                </c:pt>
                <c:pt idx="63">
                  <c:v>181744.28360553074</c:v>
                </c:pt>
                <c:pt idx="64">
                  <c:v>180794.65337684896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04-4CD1-B72E-2E4497C14F12}"/>
            </c:ext>
          </c:extLst>
        </c:ser>
        <c:ser>
          <c:idx val="5"/>
          <c:order val="5"/>
          <c:tx>
            <c:v>H=7500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EDisponible!$G$20:$G$84</c:f>
              <c:numCache>
                <c:formatCode>General</c:formatCode>
                <c:ptCount val="65"/>
                <c:pt idx="0">
                  <c:v>6.4250955513637353E-2</c:v>
                </c:pt>
                <c:pt idx="1">
                  <c:v>8.0313694392046692E-2</c:v>
                </c:pt>
                <c:pt idx="2">
                  <c:v>9.637643327045603E-2</c:v>
                </c:pt>
                <c:pt idx="3">
                  <c:v>0.11243917214886537</c:v>
                </c:pt>
                <c:pt idx="4">
                  <c:v>0.12850191102727471</c:v>
                </c:pt>
                <c:pt idx="5">
                  <c:v>0.14456464990568405</c:v>
                </c:pt>
                <c:pt idx="6">
                  <c:v>0.16062738878409338</c:v>
                </c:pt>
                <c:pt idx="7">
                  <c:v>0.17669012766250272</c:v>
                </c:pt>
                <c:pt idx="8">
                  <c:v>0.19275286654091206</c:v>
                </c:pt>
                <c:pt idx="9">
                  <c:v>0.2088156054193214</c:v>
                </c:pt>
                <c:pt idx="10">
                  <c:v>0.22487834429773074</c:v>
                </c:pt>
                <c:pt idx="11">
                  <c:v>0.24094108317614008</c:v>
                </c:pt>
                <c:pt idx="12">
                  <c:v>0.25700382205454941</c:v>
                </c:pt>
                <c:pt idx="13">
                  <c:v>0.27306656093295878</c:v>
                </c:pt>
                <c:pt idx="14">
                  <c:v>0.28912929981136809</c:v>
                </c:pt>
                <c:pt idx="15">
                  <c:v>0.30519203868977746</c:v>
                </c:pt>
                <c:pt idx="16">
                  <c:v>0.32125477756818677</c:v>
                </c:pt>
                <c:pt idx="17">
                  <c:v>0.33731751644659613</c:v>
                </c:pt>
                <c:pt idx="18">
                  <c:v>0.35338025532500544</c:v>
                </c:pt>
                <c:pt idx="19">
                  <c:v>0.36944299420341481</c:v>
                </c:pt>
                <c:pt idx="20">
                  <c:v>0.38550573308182412</c:v>
                </c:pt>
                <c:pt idx="21">
                  <c:v>0.40156847196023349</c:v>
                </c:pt>
                <c:pt idx="22">
                  <c:v>0.4176312108386428</c:v>
                </c:pt>
                <c:pt idx="23">
                  <c:v>0.43369394971705216</c:v>
                </c:pt>
                <c:pt idx="24">
                  <c:v>0.44975668859546147</c:v>
                </c:pt>
                <c:pt idx="25">
                  <c:v>0.46581942747387084</c:v>
                </c:pt>
                <c:pt idx="26">
                  <c:v>0.48188216635228015</c:v>
                </c:pt>
                <c:pt idx="27">
                  <c:v>0.49794490523068952</c:v>
                </c:pt>
                <c:pt idx="28">
                  <c:v>0.51400764410909883</c:v>
                </c:pt>
                <c:pt idx="29">
                  <c:v>0.53007038298750819</c:v>
                </c:pt>
                <c:pt idx="30">
                  <c:v>0.54613312186591756</c:v>
                </c:pt>
                <c:pt idx="31">
                  <c:v>0.56219586074432693</c:v>
                </c:pt>
                <c:pt idx="32">
                  <c:v>0.57825859962273618</c:v>
                </c:pt>
                <c:pt idx="33">
                  <c:v>0.59432133850114555</c:v>
                </c:pt>
                <c:pt idx="34">
                  <c:v>0.61038407737955491</c:v>
                </c:pt>
                <c:pt idx="35">
                  <c:v>0.62644681625796428</c:v>
                </c:pt>
                <c:pt idx="36">
                  <c:v>0.64250955513637353</c:v>
                </c:pt>
                <c:pt idx="37">
                  <c:v>0.6585722940147829</c:v>
                </c:pt>
                <c:pt idx="38">
                  <c:v>0.67463503289319227</c:v>
                </c:pt>
                <c:pt idx="39">
                  <c:v>0.69069777177160163</c:v>
                </c:pt>
                <c:pt idx="40">
                  <c:v>0.70676051065001089</c:v>
                </c:pt>
                <c:pt idx="41">
                  <c:v>0.72282324952842025</c:v>
                </c:pt>
                <c:pt idx="42">
                  <c:v>0.73888598840682962</c:v>
                </c:pt>
                <c:pt idx="43">
                  <c:v>0.75494872728523899</c:v>
                </c:pt>
                <c:pt idx="44">
                  <c:v>0.77101146616364824</c:v>
                </c:pt>
                <c:pt idx="45">
                  <c:v>0.78707420504205761</c:v>
                </c:pt>
                <c:pt idx="46">
                  <c:v>0.80313694392046697</c:v>
                </c:pt>
                <c:pt idx="47">
                  <c:v>0.81919968279887634</c:v>
                </c:pt>
                <c:pt idx="48">
                  <c:v>0.83526242167728559</c:v>
                </c:pt>
                <c:pt idx="49">
                  <c:v>0.85132516055569496</c:v>
                </c:pt>
                <c:pt idx="50">
                  <c:v>0.86738789943410433</c:v>
                </c:pt>
                <c:pt idx="51">
                  <c:v>0.88345063831251369</c:v>
                </c:pt>
                <c:pt idx="52">
                  <c:v>0.89951337719092295</c:v>
                </c:pt>
                <c:pt idx="53">
                  <c:v>0.91557611606933231</c:v>
                </c:pt>
                <c:pt idx="54">
                  <c:v>0.93163885494774168</c:v>
                </c:pt>
                <c:pt idx="55">
                  <c:v>0.94770159382615105</c:v>
                </c:pt>
                <c:pt idx="56">
                  <c:v>0.9637643327045603</c:v>
                </c:pt>
                <c:pt idx="57">
                  <c:v>0.97982707158296967</c:v>
                </c:pt>
                <c:pt idx="58">
                  <c:v>0.99588981046137903</c:v>
                </c:pt>
                <c:pt idx="59">
                  <c:v>1.0119525493397883</c:v>
                </c:pt>
                <c:pt idx="60">
                  <c:v>1.0280152882181977</c:v>
                </c:pt>
                <c:pt idx="61">
                  <c:v>1.044078027096607</c:v>
                </c:pt>
                <c:pt idx="62">
                  <c:v>1.0601407659750164</c:v>
                </c:pt>
                <c:pt idx="63">
                  <c:v>1.0762035048534258</c:v>
                </c:pt>
                <c:pt idx="64">
                  <c:v>1.0922662437318351</c:v>
                </c:pt>
              </c:numCache>
            </c:numRef>
          </c:xVal>
          <c:yVal>
            <c:numRef>
              <c:f>EDisponible!$AT$20:$AT$84</c:f>
              <c:numCache>
                <c:formatCode>General</c:formatCode>
                <c:ptCount val="65"/>
                <c:pt idx="0">
                  <c:v>150587.08192722261</c:v>
                </c:pt>
                <c:pt idx="1">
                  <c:v>148308.67613790097</c:v>
                </c:pt>
                <c:pt idx="2">
                  <c:v>146318.02622370634</c:v>
                </c:pt>
                <c:pt idx="3">
                  <c:v>144555.37205127068</c:v>
                </c:pt>
                <c:pt idx="4">
                  <c:v>142981.46249281822</c:v>
                </c:pt>
                <c:pt idx="5">
                  <c:v>141568.79772747718</c:v>
                </c:pt>
                <c:pt idx="6">
                  <c:v>140297.17496589827</c:v>
                </c:pt>
                <c:pt idx="7">
                  <c:v>139151.20343277784</c:v>
                </c:pt>
                <c:pt idx="8">
                  <c:v>138118.81795669219</c:v>
                </c:pt>
                <c:pt idx="9">
                  <c:v>137190.34001140355</c:v>
                </c:pt>
                <c:pt idx="10">
                  <c:v>136357.85789803416</c:v>
                </c:pt>
                <c:pt idx="11">
                  <c:v>135614.80247291495</c:v>
                </c:pt>
                <c:pt idx="12">
                  <c:v>134955.64773737919</c:v>
                </c:pt>
                <c:pt idx="13">
                  <c:v>134375.69397706931</c:v>
                </c:pt>
                <c:pt idx="14">
                  <c:v>133870.90712433326</c:v>
                </c:pt>
                <c:pt idx="15">
                  <c:v>133437.797411818</c:v>
                </c:pt>
                <c:pt idx="16">
                  <c:v>133073.32610977374</c:v>
                </c:pt>
                <c:pt idx="17">
                  <c:v>132774.8327392783</c:v>
                </c:pt>
                <c:pt idx="18">
                  <c:v>132539.97748070644</c:v>
                </c:pt>
                <c:pt idx="19">
                  <c:v>132366.69503853243</c:v>
                </c:pt>
                <c:pt idx="20">
                  <c:v>132253.15726760455</c:v>
                </c:pt>
                <c:pt idx="21">
                  <c:v>132197.74258706821</c:v>
                </c:pt>
                <c:pt idx="22">
                  <c:v>132199.01071500129</c:v>
                </c:pt>
                <c:pt idx="23">
                  <c:v>132255.6816189489</c:v>
                </c:pt>
                <c:pt idx="24">
                  <c:v>132366.61784009167</c:v>
                </c:pt>
                <c:pt idx="25">
                  <c:v>132530.80954170923</c:v>
                </c:pt>
                <c:pt idx="26">
                  <c:v>132747.36177613662</c:v>
                </c:pt>
                <c:pt idx="27">
                  <c:v>133015.48357244002</c:v>
                </c:pt>
                <c:pt idx="28">
                  <c:v>133334.4785291923</c:v>
                </c:pt>
                <c:pt idx="29">
                  <c:v>133703.73665983928</c:v>
                </c:pt>
                <c:pt idx="30">
                  <c:v>134122.7272870618</c:v>
                </c:pt>
                <c:pt idx="31">
                  <c:v>134590.9928207855</c:v>
                </c:pt>
                <c:pt idx="32">
                  <c:v>135108.14328463087</c:v>
                </c:pt>
                <c:pt idx="33">
                  <c:v>135673.85147952675</c:v>
                </c:pt>
                <c:pt idx="34">
                  <c:v>136287.84869234831</c:v>
                </c:pt>
                <c:pt idx="35">
                  <c:v>136949.92087284787</c:v>
                </c:pt>
                <c:pt idx="36">
                  <c:v>137659.90521462404</c:v>
                </c:pt>
                <c:pt idx="37">
                  <c:v>138417.68708604251</c:v>
                </c:pt>
                <c:pt idx="38">
                  <c:v>139223.19726535445</c:v>
                </c:pt>
                <c:pt idx="39">
                  <c:v>140076.4094411238</c:v>
                </c:pt>
                <c:pt idx="40">
                  <c:v>140977.33794475385</c:v>
                </c:pt>
                <c:pt idx="41">
                  <c:v>141926.03568663393</c:v>
                </c:pt>
                <c:pt idx="42">
                  <c:v>142922.59227137646</c:v>
                </c:pt>
                <c:pt idx="43">
                  <c:v>143967.1322709306</c:v>
                </c:pt>
                <c:pt idx="44">
                  <c:v>145059.81363715307</c:v>
                </c:pt>
                <c:pt idx="45">
                  <c:v>146200.82623778196</c:v>
                </c:pt>
                <c:pt idx="46">
                  <c:v>147390.39050176713</c:v>
                </c:pt>
                <c:pt idx="47">
                  <c:v>148628.75616162177</c:v>
                </c:pt>
                <c:pt idx="48">
                  <c:v>149916.20108192565</c:v>
                </c:pt>
                <c:pt idx="49">
                  <c:v>151253.03016436525</c:v>
                </c:pt>
                <c:pt idx="50">
                  <c:v>152639.57432077656</c:v>
                </c:pt>
                <c:pt idx="51">
                  <c:v>154076.18950659374</c:v>
                </c:pt>
                <c:pt idx="52">
                  <c:v>155563.25580790994</c:v>
                </c:pt>
                <c:pt idx="53">
                  <c:v>157101.17657606371</c:v>
                </c:pt>
                <c:pt idx="54">
                  <c:v>158690.37760427091</c:v>
                </c:pt>
                <c:pt idx="55">
                  <c:v>160331.30634135997</c:v>
                </c:pt>
                <c:pt idx="56">
                  <c:v>162024.43113812877</c:v>
                </c:pt>
                <c:pt idx="57">
                  <c:v>163770.24052225839</c:v>
                </c:pt>
                <c:pt idx="58">
                  <c:v>165569.24249807026</c:v>
                </c:pt>
                <c:pt idx="59">
                  <c:v>165359.44330506778</c:v>
                </c:pt>
                <c:pt idx="60">
                  <c:v>165011.45489078524</c:v>
                </c:pt>
                <c:pt idx="61">
                  <c:v>164624.04513171015</c:v>
                </c:pt>
                <c:pt idx="62">
                  <c:v>164193.67433160148</c:v>
                </c:pt>
                <c:pt idx="63">
                  <c:v>163716.66950262233</c:v>
                </c:pt>
                <c:pt idx="64">
                  <c:v>163189.218716159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04-4CD1-B72E-2E4497C14F12}"/>
            </c:ext>
          </c:extLst>
        </c:ser>
        <c:ser>
          <c:idx val="6"/>
          <c:order val="6"/>
          <c:tx>
            <c:v>H=9000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EDisponible!$H$20:$H$84</c:f>
              <c:numCache>
                <c:formatCode>General</c:formatCode>
                <c:ptCount val="65"/>
                <c:pt idx="0">
                  <c:v>6.5600694753488883E-2</c:v>
                </c:pt>
                <c:pt idx="1">
                  <c:v>8.2000868441861108E-2</c:v>
                </c:pt>
                <c:pt idx="2">
                  <c:v>9.8401042130233332E-2</c:v>
                </c:pt>
                <c:pt idx="3">
                  <c:v>0.11480121581860556</c:v>
                </c:pt>
                <c:pt idx="4">
                  <c:v>0.13120138950697777</c:v>
                </c:pt>
                <c:pt idx="5">
                  <c:v>0.14760156319535001</c:v>
                </c:pt>
                <c:pt idx="6">
                  <c:v>0.16400173688372222</c:v>
                </c:pt>
                <c:pt idx="7">
                  <c:v>0.18040191057209443</c:v>
                </c:pt>
                <c:pt idx="8">
                  <c:v>0.19680208426046666</c:v>
                </c:pt>
                <c:pt idx="9">
                  <c:v>0.21320225794883887</c:v>
                </c:pt>
                <c:pt idx="10">
                  <c:v>0.22960243163721111</c:v>
                </c:pt>
                <c:pt idx="11">
                  <c:v>0.24600260532558332</c:v>
                </c:pt>
                <c:pt idx="12">
                  <c:v>0.26240277901395553</c:v>
                </c:pt>
                <c:pt idx="13">
                  <c:v>0.27880295270232774</c:v>
                </c:pt>
                <c:pt idx="14">
                  <c:v>0.29520312639070001</c:v>
                </c:pt>
                <c:pt idx="15">
                  <c:v>0.31160330007907222</c:v>
                </c:pt>
                <c:pt idx="16">
                  <c:v>0.32800347376744443</c:v>
                </c:pt>
                <c:pt idx="17">
                  <c:v>0.34440364745581664</c:v>
                </c:pt>
                <c:pt idx="18">
                  <c:v>0.36080382114418885</c:v>
                </c:pt>
                <c:pt idx="19">
                  <c:v>0.37720399483256112</c:v>
                </c:pt>
                <c:pt idx="20">
                  <c:v>0.39360416852093333</c:v>
                </c:pt>
                <c:pt idx="21">
                  <c:v>0.41000434220930554</c:v>
                </c:pt>
                <c:pt idx="22">
                  <c:v>0.42640451589767775</c:v>
                </c:pt>
                <c:pt idx="23">
                  <c:v>0.44280468958605002</c:v>
                </c:pt>
                <c:pt idx="24">
                  <c:v>0.45920486327442223</c:v>
                </c:pt>
                <c:pt idx="25">
                  <c:v>0.47560503696279444</c:v>
                </c:pt>
                <c:pt idx="26">
                  <c:v>0.49200521065116665</c:v>
                </c:pt>
                <c:pt idx="27">
                  <c:v>0.50840538433953886</c:v>
                </c:pt>
                <c:pt idx="28">
                  <c:v>0.52480555802791107</c:v>
                </c:pt>
                <c:pt idx="29">
                  <c:v>0.54120573171628328</c:v>
                </c:pt>
                <c:pt idx="30">
                  <c:v>0.55760590540465549</c:v>
                </c:pt>
                <c:pt idx="31">
                  <c:v>0.57400607909302781</c:v>
                </c:pt>
                <c:pt idx="32">
                  <c:v>0.59040625278140002</c:v>
                </c:pt>
                <c:pt idx="33">
                  <c:v>0.60680642646977223</c:v>
                </c:pt>
                <c:pt idx="34">
                  <c:v>0.62320660015814444</c:v>
                </c:pt>
                <c:pt idx="35">
                  <c:v>0.63960677384651665</c:v>
                </c:pt>
                <c:pt idx="36">
                  <c:v>0.65600694753488886</c:v>
                </c:pt>
                <c:pt idx="37">
                  <c:v>0.67240712122326107</c:v>
                </c:pt>
                <c:pt idx="38">
                  <c:v>0.68880729491163328</c:v>
                </c:pt>
                <c:pt idx="39">
                  <c:v>0.70520746860000549</c:v>
                </c:pt>
                <c:pt idx="40">
                  <c:v>0.7216076422883777</c:v>
                </c:pt>
                <c:pt idx="41">
                  <c:v>0.73800781597675003</c:v>
                </c:pt>
                <c:pt idx="42">
                  <c:v>0.75440798966512224</c:v>
                </c:pt>
                <c:pt idx="43">
                  <c:v>0.77080816335349445</c:v>
                </c:pt>
                <c:pt idx="44">
                  <c:v>0.78720833704186666</c:v>
                </c:pt>
                <c:pt idx="45">
                  <c:v>0.80360851073023887</c:v>
                </c:pt>
                <c:pt idx="46">
                  <c:v>0.82000868441861108</c:v>
                </c:pt>
                <c:pt idx="47">
                  <c:v>0.83640885810698329</c:v>
                </c:pt>
                <c:pt idx="48">
                  <c:v>0.8528090317953555</c:v>
                </c:pt>
                <c:pt idx="49">
                  <c:v>0.86920920548372771</c:v>
                </c:pt>
                <c:pt idx="50">
                  <c:v>0.88560937917210003</c:v>
                </c:pt>
                <c:pt idx="51">
                  <c:v>0.90200955286047224</c:v>
                </c:pt>
                <c:pt idx="52">
                  <c:v>0.91840972654884445</c:v>
                </c:pt>
                <c:pt idx="53">
                  <c:v>0.93480990023721666</c:v>
                </c:pt>
                <c:pt idx="54">
                  <c:v>0.95121007392558887</c:v>
                </c:pt>
                <c:pt idx="55">
                  <c:v>0.96761024761396108</c:v>
                </c:pt>
                <c:pt idx="56">
                  <c:v>0.98401042130233329</c:v>
                </c:pt>
                <c:pt idx="57">
                  <c:v>1.0004105949907056</c:v>
                </c:pt>
                <c:pt idx="58">
                  <c:v>1.0168107686790777</c:v>
                </c:pt>
                <c:pt idx="59">
                  <c:v>1.03321094236745</c:v>
                </c:pt>
                <c:pt idx="60">
                  <c:v>1.0496111160558221</c:v>
                </c:pt>
                <c:pt idx="61">
                  <c:v>1.0660112897441945</c:v>
                </c:pt>
                <c:pt idx="62">
                  <c:v>1.0824114634325666</c:v>
                </c:pt>
                <c:pt idx="63">
                  <c:v>1.0988116371209389</c:v>
                </c:pt>
                <c:pt idx="64">
                  <c:v>1.115211810809311</c:v>
                </c:pt>
              </c:numCache>
            </c:numRef>
          </c:xVal>
          <c:yVal>
            <c:numRef>
              <c:f>EDisponible!$AZ$20:$AZ$84</c:f>
              <c:numCache>
                <c:formatCode>General</c:formatCode>
                <c:ptCount val="65"/>
                <c:pt idx="0">
                  <c:v>120889.344086343</c:v>
                </c:pt>
                <c:pt idx="1">
                  <c:v>119044.30609208034</c:v>
                </c:pt>
                <c:pt idx="2">
                  <c:v>117434.08080146959</c:v>
                </c:pt>
                <c:pt idx="3">
                  <c:v>116010.08463198144</c:v>
                </c:pt>
                <c:pt idx="4">
                  <c:v>114740.39910660741</c:v>
                </c:pt>
                <c:pt idx="5">
                  <c:v>113602.65616168822</c:v>
                </c:pt>
                <c:pt idx="6">
                  <c:v>112580.41932494218</c:v>
                </c:pt>
                <c:pt idx="7">
                  <c:v>111661.16466033779</c:v>
                </c:pt>
                <c:pt idx="8">
                  <c:v>110835.07297981415</c:v>
                </c:pt>
                <c:pt idx="9">
                  <c:v>110094.26682110025</c:v>
                </c:pt>
                <c:pt idx="10">
                  <c:v>109432.30671677137</c:v>
                </c:pt>
                <c:pt idx="11">
                  <c:v>108843.84634558538</c:v>
                </c:pt>
                <c:pt idx="12">
                  <c:v>108324.38914076731</c:v>
                </c:pt>
                <c:pt idx="13">
                  <c:v>107870.11197835262</c:v>
                </c:pt>
                <c:pt idx="14">
                  <c:v>107477.73455580589</c:v>
                </c:pt>
                <c:pt idx="15">
                  <c:v>107144.42070347619</c:v>
                </c:pt>
                <c:pt idx="16">
                  <c:v>106867.70252222659</c:v>
                </c:pt>
                <c:pt idx="17">
                  <c:v>106645.42116521565</c:v>
                </c:pt>
                <c:pt idx="18">
                  <c:v>106475.6799725747</c:v>
                </c:pt>
                <c:pt idx="19">
                  <c:v>106356.80692044395</c:v>
                </c:pt>
                <c:pt idx="20">
                  <c:v>106287.32419416885</c:v>
                </c:pt>
                <c:pt idx="21">
                  <c:v>106265.92328136072</c:v>
                </c:pt>
                <c:pt idx="22">
                  <c:v>106291.44439242585</c:v>
                </c:pt>
                <c:pt idx="23">
                  <c:v>106362.85931044674</c:v>
                </c:pt>
                <c:pt idx="24">
                  <c:v>106479.25698566524</c:v>
                </c:pt>
                <c:pt idx="25">
                  <c:v>106639.83134660976</c:v>
                </c:pt>
                <c:pt idx="26">
                  <c:v>106843.87091657701</c:v>
                </c:pt>
                <c:pt idx="27">
                  <c:v>107090.7499119729</c:v>
                </c:pt>
                <c:pt idx="28">
                  <c:v>107379.92056580658</c:v>
                </c:pt>
                <c:pt idx="29">
                  <c:v>107710.90647092408</c:v>
                </c:pt>
                <c:pt idx="30">
                  <c:v>108083.29677733926</c:v>
                </c:pt>
                <c:pt idx="31">
                  <c:v>108496.7411091096</c:v>
                </c:pt>
                <c:pt idx="32">
                  <c:v>108950.94509071042</c:v>
                </c:pt>
                <c:pt idx="33">
                  <c:v>109445.66639231968</c:v>
                </c:pt>
                <c:pt idx="34">
                  <c:v>109980.71121898841</c:v>
                </c:pt>
                <c:pt idx="35">
                  <c:v>110555.93118119787</c:v>
                </c:pt>
                <c:pt idx="36">
                  <c:v>111171.22049445371</c:v>
                </c:pt>
                <c:pt idx="37">
                  <c:v>111826.51346383827</c:v>
                </c:pt>
                <c:pt idx="38">
                  <c:v>112521.78221621676</c:v>
                </c:pt>
                <c:pt idx="39">
                  <c:v>113257.03464838001</c:v>
                </c:pt>
                <c:pt idx="40">
                  <c:v>114032.31256402485</c:v>
                </c:pt>
                <c:pt idx="41">
                  <c:v>114847.68997632276</c:v>
                </c:pt>
                <c:pt idx="42">
                  <c:v>115703.27155604052</c:v>
                </c:pt>
                <c:pt idx="43">
                  <c:v>116599.19120787342</c:v>
                </c:pt>
                <c:pt idx="44">
                  <c:v>117535.61075992779</c:v>
                </c:pt>
                <c:pt idx="45">
                  <c:v>118512.71875321187</c:v>
                </c:pt>
                <c:pt idx="46">
                  <c:v>119530.72931963032</c:v>
                </c:pt>
                <c:pt idx="47">
                  <c:v>120589.88113836778</c:v>
                </c:pt>
                <c:pt idx="48">
                  <c:v>121690.43646174285</c:v>
                </c:pt>
                <c:pt idx="49">
                  <c:v>122832.68020263124</c:v>
                </c:pt>
                <c:pt idx="50">
                  <c:v>124016.91907644203</c:v>
                </c:pt>
                <c:pt idx="51">
                  <c:v>125243.48079138687</c:v>
                </c:pt>
                <c:pt idx="52">
                  <c:v>126512.71328144173</c:v>
                </c:pt>
                <c:pt idx="53">
                  <c:v>127824.98397697367</c:v>
                </c:pt>
                <c:pt idx="54">
                  <c:v>129180.67910849898</c:v>
                </c:pt>
                <c:pt idx="55">
                  <c:v>130580.20303947473</c:v>
                </c:pt>
                <c:pt idx="56">
                  <c:v>132023.97762440742</c:v>
                </c:pt>
                <c:pt idx="57">
                  <c:v>133512.44158889103</c:v>
                </c:pt>
                <c:pt idx="58">
                  <c:v>135046.04992848376</c:v>
                </c:pt>
                <c:pt idx="59">
                  <c:v>136625.27332358493</c:v>
                </c:pt>
                <c:pt idx="60">
                  <c:v>138250.59756770747</c:v>
                </c:pt>
                <c:pt idx="61">
                  <c:v>139922.52300673528</c:v>
                </c:pt>
                <c:pt idx="62">
                  <c:v>141641.56398693623</c:v>
                </c:pt>
                <c:pt idx="63">
                  <c:v>143408.24830966018</c:v>
                </c:pt>
                <c:pt idx="64">
                  <c:v>145161.89777336488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04-4CD1-B72E-2E4497C14F12}"/>
            </c:ext>
          </c:extLst>
        </c:ser>
        <c:ser>
          <c:idx val="7"/>
          <c:order val="7"/>
          <c:tx>
            <c:v>H=10500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EDisponible!$I$20:$I$84</c:f>
              <c:numCache>
                <c:formatCode>General</c:formatCode>
                <c:ptCount val="65"/>
                <c:pt idx="0">
                  <c:v>6.703923488221479E-2</c:v>
                </c:pt>
                <c:pt idx="1">
                  <c:v>8.3799043602768478E-2</c:v>
                </c:pt>
                <c:pt idx="2">
                  <c:v>0.10055885232332218</c:v>
                </c:pt>
                <c:pt idx="3">
                  <c:v>0.11731866104387588</c:v>
                </c:pt>
                <c:pt idx="4">
                  <c:v>0.13407846976442958</c:v>
                </c:pt>
                <c:pt idx="5">
                  <c:v>0.15083827848498327</c:v>
                </c:pt>
                <c:pt idx="6">
                  <c:v>0.16759808720553696</c:v>
                </c:pt>
                <c:pt idx="7">
                  <c:v>0.18435789592609067</c:v>
                </c:pt>
                <c:pt idx="8">
                  <c:v>0.20111770464664436</c:v>
                </c:pt>
                <c:pt idx="9">
                  <c:v>0.21787751336719804</c:v>
                </c:pt>
                <c:pt idx="10">
                  <c:v>0.23463732208775176</c:v>
                </c:pt>
                <c:pt idx="11">
                  <c:v>0.25139713080830545</c:v>
                </c:pt>
                <c:pt idx="12">
                  <c:v>0.26815693952885916</c:v>
                </c:pt>
                <c:pt idx="13">
                  <c:v>0.28491674824941282</c:v>
                </c:pt>
                <c:pt idx="14">
                  <c:v>0.30167655696996654</c:v>
                </c:pt>
                <c:pt idx="15">
                  <c:v>0.31843636569052025</c:v>
                </c:pt>
                <c:pt idx="16">
                  <c:v>0.33519617441107391</c:v>
                </c:pt>
                <c:pt idx="17">
                  <c:v>0.35195598313162763</c:v>
                </c:pt>
                <c:pt idx="18">
                  <c:v>0.36871579185218134</c:v>
                </c:pt>
                <c:pt idx="19">
                  <c:v>0.385475600572735</c:v>
                </c:pt>
                <c:pt idx="20">
                  <c:v>0.40223540929328871</c:v>
                </c:pt>
                <c:pt idx="21">
                  <c:v>0.41899521801384243</c:v>
                </c:pt>
                <c:pt idx="22">
                  <c:v>0.43575502673439609</c:v>
                </c:pt>
                <c:pt idx="23">
                  <c:v>0.4525148354549498</c:v>
                </c:pt>
                <c:pt idx="24">
                  <c:v>0.46927464417550352</c:v>
                </c:pt>
                <c:pt idx="25">
                  <c:v>0.48603445289605718</c:v>
                </c:pt>
                <c:pt idx="26">
                  <c:v>0.50279426161661089</c:v>
                </c:pt>
                <c:pt idx="27">
                  <c:v>0.51955407033716461</c:v>
                </c:pt>
                <c:pt idx="28">
                  <c:v>0.53631387905771832</c:v>
                </c:pt>
                <c:pt idx="29">
                  <c:v>0.55307368777827193</c:v>
                </c:pt>
                <c:pt idx="30">
                  <c:v>0.56983349649882564</c:v>
                </c:pt>
                <c:pt idx="31">
                  <c:v>0.58659330521937936</c:v>
                </c:pt>
                <c:pt idx="32">
                  <c:v>0.60335311393993307</c:v>
                </c:pt>
                <c:pt idx="33">
                  <c:v>0.62011292266048679</c:v>
                </c:pt>
                <c:pt idx="34">
                  <c:v>0.6368727313810405</c:v>
                </c:pt>
                <c:pt idx="35">
                  <c:v>0.65363254010159411</c:v>
                </c:pt>
                <c:pt idx="36">
                  <c:v>0.67039234882214782</c:v>
                </c:pt>
                <c:pt idx="37">
                  <c:v>0.68715215754270154</c:v>
                </c:pt>
                <c:pt idx="38">
                  <c:v>0.70391196626325525</c:v>
                </c:pt>
                <c:pt idx="39">
                  <c:v>0.72067177498380897</c:v>
                </c:pt>
                <c:pt idx="40">
                  <c:v>0.73743158370436268</c:v>
                </c:pt>
                <c:pt idx="41">
                  <c:v>0.75419139242491628</c:v>
                </c:pt>
                <c:pt idx="42">
                  <c:v>0.77095120114547</c:v>
                </c:pt>
                <c:pt idx="43">
                  <c:v>0.78771100986602371</c:v>
                </c:pt>
                <c:pt idx="44">
                  <c:v>0.80447081858657743</c:v>
                </c:pt>
                <c:pt idx="45">
                  <c:v>0.82123062730713114</c:v>
                </c:pt>
                <c:pt idx="46">
                  <c:v>0.83799043602768486</c:v>
                </c:pt>
                <c:pt idx="47">
                  <c:v>0.85475024474823846</c:v>
                </c:pt>
                <c:pt idx="48">
                  <c:v>0.87151005346879218</c:v>
                </c:pt>
                <c:pt idx="49">
                  <c:v>0.88826986218934589</c:v>
                </c:pt>
                <c:pt idx="50">
                  <c:v>0.90502967090989961</c:v>
                </c:pt>
                <c:pt idx="51">
                  <c:v>0.92178947963045332</c:v>
                </c:pt>
                <c:pt idx="52">
                  <c:v>0.93854928835100704</c:v>
                </c:pt>
                <c:pt idx="53">
                  <c:v>0.95530909707156064</c:v>
                </c:pt>
                <c:pt idx="54">
                  <c:v>0.97206890579211436</c:v>
                </c:pt>
                <c:pt idx="55">
                  <c:v>0.98882871451266807</c:v>
                </c:pt>
                <c:pt idx="56">
                  <c:v>1.0055885232332218</c:v>
                </c:pt>
                <c:pt idx="57">
                  <c:v>1.0223483319537754</c:v>
                </c:pt>
                <c:pt idx="58">
                  <c:v>1.0391081406743292</c:v>
                </c:pt>
                <c:pt idx="59">
                  <c:v>1.0558679493948828</c:v>
                </c:pt>
                <c:pt idx="60">
                  <c:v>1.0726277581154366</c:v>
                </c:pt>
                <c:pt idx="61">
                  <c:v>1.0893875668359903</c:v>
                </c:pt>
                <c:pt idx="62">
                  <c:v>1.1061473755565439</c:v>
                </c:pt>
                <c:pt idx="63">
                  <c:v>1.1229071842770977</c:v>
                </c:pt>
                <c:pt idx="64">
                  <c:v>1.1396669929976513</c:v>
                </c:pt>
              </c:numCache>
            </c:numRef>
          </c:xVal>
          <c:yVal>
            <c:numRef>
              <c:f>EDisponible!$BF$20:$BF$84</c:f>
              <c:numCache>
                <c:formatCode>General</c:formatCode>
                <c:ptCount val="65"/>
                <c:pt idx="0">
                  <c:v>96127.523830610546</c:v>
                </c:pt>
                <c:pt idx="1">
                  <c:v>94647.17889857688</c:v>
                </c:pt>
                <c:pt idx="2">
                  <c:v>93356.784181137176</c:v>
                </c:pt>
                <c:pt idx="3">
                  <c:v>92217.194016871043</c:v>
                </c:pt>
                <c:pt idx="4">
                  <c:v>91202.68339200347</c:v>
                </c:pt>
                <c:pt idx="5">
                  <c:v>90295.219788021801</c:v>
                </c:pt>
                <c:pt idx="6">
                  <c:v>89481.549433684137</c:v>
                </c:pt>
                <c:pt idx="7">
                  <c:v>88751.5715157331</c:v>
                </c:pt>
                <c:pt idx="8">
                  <c:v>88097.36555815232</c:v>
                </c:pt>
                <c:pt idx="9">
                  <c:v>87512.576907651601</c:v>
                </c:pt>
                <c:pt idx="10">
                  <c:v>86992.010999327948</c:v>
                </c:pt>
                <c:pt idx="11">
                  <c:v>86531.355560697208</c:v>
                </c:pt>
                <c:pt idx="12">
                  <c:v>86126.984517968202</c:v>
                </c:pt>
                <c:pt idx="13">
                  <c:v>85775.815924920462</c:v>
                </c:pt>
                <c:pt idx="14">
                  <c:v>85475.206691032101</c:v>
                </c:pt>
                <c:pt idx="15">
                  <c:v>85222.873030687013</c:v>
                </c:pt>
                <c:pt idx="16">
                  <c:v>85016.829299970108</c:v>
                </c:pt>
                <c:pt idx="17">
                  <c:v>84855.340242475781</c:v>
                </c:pt>
                <c:pt idx="18">
                  <c:v>84736.88318804992</c:v>
                </c:pt>
                <c:pt idx="19">
                  <c:v>84660.117757138243</c:v>
                </c:pt>
                <c:pt idx="20">
                  <c:v>84623.861306572406</c:v>
                </c:pt>
                <c:pt idx="21">
                  <c:v>84627.068824460483</c:v>
                </c:pt>
                <c:pt idx="22">
                  <c:v>84668.816313572737</c:v>
                </c:pt>
                <c:pt idx="23">
                  <c:v>84748.286939623998</c:v>
                </c:pt>
                <c:pt idx="24">
                  <c:v>84864.759392703956</c:v>
                </c:pt>
                <c:pt idx="25">
                  <c:v>85017.598036398427</c:v>
                </c:pt>
                <c:pt idx="26">
                  <c:v>85206.244513121346</c:v>
                </c:pt>
                <c:pt idx="27">
                  <c:v>85430.210544902046</c:v>
                </c:pt>
                <c:pt idx="28">
                  <c:v>85689.071722674431</c:v>
                </c:pt>
                <c:pt idx="29">
                  <c:v>85982.462118444513</c:v>
                </c:pt>
                <c:pt idx="30">
                  <c:v>86310.0695867498</c:v>
                </c:pt>
                <c:pt idx="31">
                  <c:v>86671.631646880065</c:v>
                </c:pt>
                <c:pt idx="32">
                  <c:v>87066.93185707365</c:v>
                </c:pt>
                <c:pt idx="33">
                  <c:v>87495.796607585813</c:v>
                </c:pt>
                <c:pt idx="34">
                  <c:v>87958.092272066919</c:v>
                </c:pt>
                <c:pt idx="35">
                  <c:v>88453.722666785528</c:v>
                </c:pt>
                <c:pt idx="36">
                  <c:v>88982.626775411714</c:v>
                </c:pt>
                <c:pt idx="37">
                  <c:v>89544.776703741794</c:v>
                </c:pt>
                <c:pt idx="38">
                  <c:v>90140.175834210604</c:v>
                </c:pt>
                <c:pt idx="39">
                  <c:v>90768.857154537283</c:v>
                </c:pt>
                <c:pt idx="40">
                  <c:v>91430.881738578595</c:v>
                </c:pt>
                <c:pt idx="41">
                  <c:v>92126.337360565711</c:v>
                </c:pt>
                <c:pt idx="42">
                  <c:v>92855.337226490956</c:v>
                </c:pt>
                <c:pt idx="43">
                  <c:v>93618.018808588953</c:v>
                </c:pt>
                <c:pt idx="44">
                  <c:v>94414.542770687869</c:v>
                </c:pt>
                <c:pt idx="45">
                  <c:v>95245.091973762086</c:v>
                </c:pt>
                <c:pt idx="46">
                  <c:v>96109.870552333101</c:v>
                </c:pt>
                <c:pt idx="47">
                  <c:v>97009.103053489351</c:v>
                </c:pt>
                <c:pt idx="48">
                  <c:v>97943.033631259706</c:v>
                </c:pt>
                <c:pt idx="49">
                  <c:v>98911.925289896302</c:v>
                </c:pt>
                <c:pt idx="50">
                  <c:v>99916.059170334993</c:v>
                </c:pt>
                <c:pt idx="51">
                  <c:v>100955.73387471512</c:v>
                </c:pt>
                <c:pt idx="52">
                  <c:v>102031.26482436834</c:v>
                </c:pt>
                <c:pt idx="53">
                  <c:v>103142.98364715031</c:v>
                </c:pt>
                <c:pt idx="54">
                  <c:v>104291.23759038826</c:v>
                </c:pt>
                <c:pt idx="55">
                  <c:v>105476.3889560674</c:v>
                </c:pt>
                <c:pt idx="56">
                  <c:v>106698.81455518684</c:v>
                </c:pt>
                <c:pt idx="57">
                  <c:v>107958.90517848244</c:v>
                </c:pt>
                <c:pt idx="58">
                  <c:v>109257.06508094979</c:v>
                </c:pt>
                <c:pt idx="59">
                  <c:v>110593.71147780943</c:v>
                </c:pt>
                <c:pt idx="60">
                  <c:v>111969.274049738</c:v>
                </c:pt>
                <c:pt idx="61">
                  <c:v>113384.19445535092</c:v>
                </c:pt>
                <c:pt idx="62">
                  <c:v>114838.92584906587</c:v>
                </c:pt>
                <c:pt idx="63">
                  <c:v>116333.93240260218</c:v>
                </c:pt>
                <c:pt idx="64">
                  <c:v>117869.68882848472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04-4CD1-B72E-2E4497C1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47727"/>
        <c:axId val="954949807"/>
      </c:scatterChart>
      <c:valAx>
        <c:axId val="9549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949807"/>
        <c:crosses val="autoZero"/>
        <c:crossBetween val="midCat"/>
      </c:valAx>
      <c:valAx>
        <c:axId val="9549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94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'ENecesario(W1)'!$J$7:$J$71</c:f>
              <c:numCache>
                <c:formatCode>General</c:formatCode>
                <c:ptCount val="65"/>
                <c:pt idx="0">
                  <c:v>2605283.0840445594</c:v>
                </c:pt>
                <c:pt idx="1">
                  <c:v>1668450.2988353951</c:v>
                </c:pt>
                <c:pt idx="2">
                  <c:v>1159996.1291341376</c:v>
                </c:pt>
                <c:pt idx="3">
                  <c:v>853875.51345820865</c:v>
                </c:pt>
                <c:pt idx="4">
                  <c:v>655666.80778706376</c:v>
                </c:pt>
                <c:pt idx="5">
                  <c:v>520262.04167797888</c:v>
                </c:pt>
                <c:pt idx="6">
                  <c:v>423903.25717122987</c:v>
                </c:pt>
                <c:pt idx="7">
                  <c:v>353111.50133669999</c:v>
                </c:pt>
                <c:pt idx="8">
                  <c:v>299777.61502936314</c:v>
                </c:pt>
                <c:pt idx="9">
                  <c:v>258785.63428257412</c:v>
                </c:pt>
                <c:pt idx="10">
                  <c:v>226778.61599081903</c:v>
                </c:pt>
                <c:pt idx="11">
                  <c:v>201479.79904068788</c:v>
                </c:pt>
                <c:pt idx="12">
                  <c:v>181300.84905046143</c:v>
                </c:pt>
                <c:pt idx="13">
                  <c:v>165106.37328893182</c:v>
                </c:pt>
                <c:pt idx="14">
                  <c:v>152067.32159760935</c:v>
                </c:pt>
                <c:pt idx="15">
                  <c:v>141566.89907402199</c:v>
                </c:pt>
                <c:pt idx="16">
                  <c:v>133138.5441423317</c:v>
                </c:pt>
                <c:pt idx="17">
                  <c:v>126424.06475761873</c:v>
                </c:pt>
                <c:pt idx="18">
                  <c:v>121144.7784520993</c:v>
                </c:pt>
                <c:pt idx="19">
                  <c:v>117081.2366943747</c:v>
                </c:pt>
                <c:pt idx="20">
                  <c:v>114058.73474065565</c:v>
                </c:pt>
                <c:pt idx="21">
                  <c:v>111936.7944230241</c:v>
                </c:pt>
                <c:pt idx="22">
                  <c:v>110601.42201633946</c:v>
                </c:pt>
                <c:pt idx="23">
                  <c:v>109959.33483086192</c:v>
                </c:pt>
                <c:pt idx="24">
                  <c:v>109933.60450277223</c:v>
                </c:pt>
                <c:pt idx="25">
                  <c:v>110460.33317836613</c:v>
                </c:pt>
                <c:pt idx="26">
                  <c:v>111486.09192160146</c:v>
                </c:pt>
                <c:pt idx="27">
                  <c:v>112965.92793281535</c:v>
                </c:pt>
                <c:pt idx="28">
                  <c:v>114861.80067739735</c:v>
                </c:pt>
                <c:pt idx="29">
                  <c:v>117141.34457619464</c:v>
                </c:pt>
                <c:pt idx="30">
                  <c:v>119776.88258735796</c:v>
                </c:pt>
                <c:pt idx="31">
                  <c:v>122744.63417876062</c:v>
                </c:pt>
                <c:pt idx="32">
                  <c:v>126024.07511186079</c:v>
                </c:pt>
                <c:pt idx="33">
                  <c:v>129597.41666995866</c:v>
                </c:pt>
                <c:pt idx="34">
                  <c:v>133449.17952528791</c:v>
                </c:pt>
                <c:pt idx="35">
                  <c:v>137565.84308786158</c:v>
                </c:pt>
                <c:pt idx="36">
                  <c:v>141935.55543367981</c:v>
                </c:pt>
                <c:pt idx="37">
                  <c:v>146547.89213999169</c:v>
                </c:pt>
                <c:pt idx="38">
                  <c:v>151393.6548258065</c:v>
                </c:pt>
                <c:pt idx="39">
                  <c:v>156464.70209873319</c:v>
                </c:pt>
                <c:pt idx="40">
                  <c:v>161753.80708472204</c:v>
                </c:pt>
                <c:pt idx="41">
                  <c:v>167254.53686865003</c:v>
                </c:pt>
                <c:pt idx="42">
                  <c:v>172961.15007757678</c:v>
                </c:pt>
                <c:pt idx="43">
                  <c:v>178868.5095521739</c:v>
                </c:pt>
                <c:pt idx="44">
                  <c:v>184972.00761842341</c:v>
                </c:pt>
                <c:pt idx="45">
                  <c:v>191267.50192385723</c:v>
                </c:pt>
                <c:pt idx="46">
                  <c:v>197751.26016528238</c:v>
                </c:pt>
                <c:pt idx="47">
                  <c:v>204419.91232721461</c:v>
                </c:pt>
                <c:pt idx="48">
                  <c:v>211270.40928686858</c:v>
                </c:pt>
                <c:pt idx="49">
                  <c:v>218299.9868339666</c:v>
                </c:pt>
                <c:pt idx="50">
                  <c:v>225506.13431074703</c:v>
                </c:pt>
                <c:pt idx="51">
                  <c:v>233043.26246555737</c:v>
                </c:pt>
                <c:pt idx="52">
                  <c:v>245716.71625654039</c:v>
                </c:pt>
                <c:pt idx="53">
                  <c:v>271291.55638140818</c:v>
                </c:pt>
                <c:pt idx="54">
                  <c:v>316402.25592596544</c:v>
                </c:pt>
                <c:pt idx="55">
                  <c:v>387566.48905142985</c:v>
                </c:pt>
                <c:pt idx="56">
                  <c:v>491460.44015721389</c:v>
                </c:pt>
                <c:pt idx="57">
                  <c:v>635031.36906643154</c:v>
                </c:pt>
                <c:pt idx="58">
                  <c:v>825558.64833713474</c:v>
                </c:pt>
                <c:pt idx="59">
                  <c:v>1070692.5094239709</c:v>
                </c:pt>
                <c:pt idx="60">
                  <c:v>1378481.433455704</c:v>
                </c:pt>
                <c:pt idx="61">
                  <c:v>1757393.1124121386</c:v>
                </c:pt>
                <c:pt idx="62">
                  <c:v>2216331.4835030865</c:v>
                </c:pt>
                <c:pt idx="63">
                  <c:v>2764651.2225583997</c:v>
                </c:pt>
                <c:pt idx="64">
                  <c:v>3412170.5152875851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4-4A62-BDDD-EA625E619518}"/>
            </c:ext>
          </c:extLst>
        </c:ser>
        <c:ser>
          <c:idx val="1"/>
          <c:order val="1"/>
          <c:tx>
            <c:v>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'ENecesario(W1)'!$R$7:$R$71</c:f>
              <c:numCache>
                <c:formatCode>General</c:formatCode>
                <c:ptCount val="65"/>
                <c:pt idx="0">
                  <c:v>3015508.8203136292</c:v>
                </c:pt>
                <c:pt idx="1">
                  <c:v>1930849.2234640471</c:v>
                </c:pt>
                <c:pt idx="2">
                  <c:v>1342033.8087306605</c:v>
                </c:pt>
                <c:pt idx="3">
                  <c:v>987395.10924326256</c:v>
                </c:pt>
                <c:pt idx="4">
                  <c:v>757631.58907566033</c:v>
                </c:pt>
                <c:pt idx="5">
                  <c:v>600526.71987731778</c:v>
                </c:pt>
                <c:pt idx="6">
                  <c:v>488578.53086171969</c:v>
                </c:pt>
                <c:pt idx="7">
                  <c:v>406183.92304429336</c:v>
                </c:pt>
                <c:pt idx="8">
                  <c:v>343955.81617648457</c:v>
                </c:pt>
                <c:pt idx="9">
                  <c:v>295972.02234155143</c:v>
                </c:pt>
                <c:pt idx="10">
                  <c:v>258346.57830240321</c:v>
                </c:pt>
                <c:pt idx="11">
                  <c:v>228443.92852286846</c:v>
                </c:pt>
                <c:pt idx="12">
                  <c:v>204425.43325792742</c:v>
                </c:pt>
                <c:pt idx="13">
                  <c:v>184976.77341593782</c:v>
                </c:pt>
                <c:pt idx="14">
                  <c:v>169138.24895542316</c:v>
                </c:pt>
                <c:pt idx="15">
                  <c:v>156195.86436305658</c:v>
                </c:pt>
                <c:pt idx="16">
                  <c:v>145609.53269826167</c:v>
                </c:pt>
                <c:pt idx="17">
                  <c:v>136964.61448857005</c:v>
                </c:pt>
                <c:pt idx="18">
                  <c:v>129938.50974029973</c:v>
                </c:pt>
                <c:pt idx="19">
                  <c:v>124277.18706279412</c:v>
                </c:pt>
                <c:pt idx="20">
                  <c:v>119778.41001939884</c:v>
                </c:pt>
                <c:pt idx="21">
                  <c:v>116279.56250999389</c:v>
                </c:pt>
                <c:pt idx="22">
                  <c:v>113648.68655637352</c:v>
                </c:pt>
                <c:pt idx="23">
                  <c:v>111777.79906451669</c:v>
                </c:pt>
                <c:pt idx="24">
                  <c:v>110577.84854195104</c:v>
                </c:pt>
                <c:pt idx="25">
                  <c:v>109974.86748234129</c:v>
                </c:pt>
                <c:pt idx="26">
                  <c:v>109907.00709208852</c:v>
                </c:pt>
                <c:pt idx="27">
                  <c:v>110322.23046696059</c:v>
                </c:pt>
                <c:pt idx="28">
                  <c:v>111176.50227053111</c:v>
                </c:pt>
                <c:pt idx="29">
                  <c:v>112432.35643716187</c:v>
                </c:pt>
                <c:pt idx="30">
                  <c:v>114057.75430436819</c:v>
                </c:pt>
                <c:pt idx="31">
                  <c:v>116025.16776973727</c:v>
                </c:pt>
                <c:pt idx="32">
                  <c:v>118310.83818323062</c:v>
                </c:pt>
                <c:pt idx="33">
                  <c:v>120894.17350710511</c:v>
                </c:pt>
                <c:pt idx="34">
                  <c:v>123757.25502878675</c:v>
                </c:pt>
                <c:pt idx="35">
                  <c:v>126884.43145065688</c:v>
                </c:pt>
                <c:pt idx="36">
                  <c:v>130261.9831058924</c:v>
                </c:pt>
                <c:pt idx="37">
                  <c:v>133877.84278861436</c:v>
                </c:pt>
                <c:pt idx="38">
                  <c:v>137721.36254643049</c:v>
                </c:pt>
                <c:pt idx="39">
                  <c:v>141783.11798621426</c:v>
                </c:pt>
                <c:pt idx="40">
                  <c:v>146054.74335198058</c:v>
                </c:pt>
                <c:pt idx="41">
                  <c:v>150528.79196653244</c:v>
                </c:pt>
                <c:pt idx="42">
                  <c:v>155198.61767487845</c:v>
                </c:pt>
                <c:pt idx="43">
                  <c:v>160058.27375356638</c:v>
                </c:pt>
                <c:pt idx="44">
                  <c:v>165102.42640596055</c:v>
                </c:pt>
                <c:pt idx="45">
                  <c:v>170326.28048692446</c:v>
                </c:pt>
                <c:pt idx="46">
                  <c:v>175725.51552019687</c:v>
                </c:pt>
                <c:pt idx="47">
                  <c:v>181296.23041008788</c:v>
                </c:pt>
                <c:pt idx="48">
                  <c:v>187034.89552303596</c:v>
                </c:pt>
                <c:pt idx="49">
                  <c:v>192938.31103730426</c:v>
                </c:pt>
                <c:pt idx="50">
                  <c:v>199082.67084276085</c:v>
                </c:pt>
                <c:pt idx="51">
                  <c:v>209253.45106573941</c:v>
                </c:pt>
                <c:pt idx="52">
                  <c:v>230305.54566542327</c:v>
                </c:pt>
                <c:pt idx="53">
                  <c:v>268086.2979370667</c:v>
                </c:pt>
                <c:pt idx="54">
                  <c:v>328323.05020719668</c:v>
                </c:pt>
                <c:pt idx="55">
                  <c:v>416882.7240013408</c:v>
                </c:pt>
                <c:pt idx="56">
                  <c:v>539874.90566762071</c:v>
                </c:pt>
                <c:pt idx="57">
                  <c:v>703707.08233806049</c:v>
                </c:pt>
                <c:pt idx="58">
                  <c:v>915119.4945935487</c:v>
                </c:pt>
                <c:pt idx="59">
                  <c:v>1181209.7034879387</c:v>
                </c:pt>
                <c:pt idx="60">
                  <c:v>1509451.3718376569</c:v>
                </c:pt>
                <c:pt idx="61">
                  <c:v>1907709.5290562385</c:v>
                </c:pt>
                <c:pt idx="62">
                  <c:v>2384253.568914528</c:v>
                </c:pt>
                <c:pt idx="63">
                  <c:v>2947768.7151532089</c:v>
                </c:pt>
                <c:pt idx="64">
                  <c:v>3607366.4103389806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A4-4A62-BDDD-EA625E619518}"/>
            </c:ext>
          </c:extLst>
        </c:ser>
        <c:ser>
          <c:idx val="2"/>
          <c:order val="2"/>
          <c:tx>
            <c:v>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'ENecesario(W1)'!$Z$7:$Z$71</c:f>
              <c:numCache>
                <c:formatCode>General</c:formatCode>
                <c:ptCount val="65"/>
                <c:pt idx="0">
                  <c:v>3508657.3140609735</c:v>
                </c:pt>
                <c:pt idx="1">
                  <c:v>2246334.3798348103</c:v>
                </c:pt>
                <c:pt idx="2">
                  <c:v>1560956.7112275267</c:v>
                </c:pt>
                <c:pt idx="3">
                  <c:v>1148037.9891756589</c:v>
                </c:pt>
                <c:pt idx="4">
                  <c:v>880390.74654690048</c:v>
                </c:pt>
                <c:pt idx="5">
                  <c:v>697253.82452430716</c:v>
                </c:pt>
                <c:pt idx="6">
                  <c:v>566624.87313316681</c:v>
                </c:pt>
                <c:pt idx="7">
                  <c:v>470347.5268435154</c:v>
                </c:pt>
                <c:pt idx="8">
                  <c:v>397498.61837811023</c:v>
                </c:pt>
                <c:pt idx="9">
                  <c:v>341186.86231603444</c:v>
                </c:pt>
                <c:pt idx="10">
                  <c:v>296890.4025158647</c:v>
                </c:pt>
                <c:pt idx="11">
                  <c:v>261542.40528407934</c:v>
                </c:pt>
                <c:pt idx="12">
                  <c:v>233003.35876335364</c:v>
                </c:pt>
                <c:pt idx="13">
                  <c:v>209743.87075573613</c:v>
                </c:pt>
                <c:pt idx="14">
                  <c:v>190647.19741634099</c:v>
                </c:pt>
                <c:pt idx="15">
                  <c:v>174882.5061304718</c:v>
                </c:pt>
                <c:pt idx="16">
                  <c:v>161821.33098114873</c:v>
                </c:pt>
                <c:pt idx="17">
                  <c:v>150981.18154562131</c:v>
                </c:pt>
                <c:pt idx="18">
                  <c:v>141986.66807528585</c:v>
                </c:pt>
                <c:pt idx="19">
                  <c:v>134542.18988277856</c:v>
                </c:pt>
                <c:pt idx="20">
                  <c:v>128412.41687944168</c:v>
                </c:pt>
                <c:pt idx="21">
                  <c:v>123408.12272262652</c:v>
                </c:pt>
                <c:pt idx="22">
                  <c:v>119375.75603838699</c:v>
                </c:pt>
                <c:pt idx="23">
                  <c:v>116189.66354925295</c:v>
                </c:pt>
                <c:pt idx="24">
                  <c:v>113746.22151676595</c:v>
                </c:pt>
                <c:pt idx="25">
                  <c:v>111959.35850834151</c:v>
                </c:pt>
                <c:pt idx="26">
                  <c:v>110757.10489119815</c:v>
                </c:pt>
                <c:pt idx="27">
                  <c:v>110078.90852404524</c:v>
                </c:pt>
                <c:pt idx="28">
                  <c:v>109873.5281973524</c:v>
                </c:pt>
                <c:pt idx="29">
                  <c:v>110097.36695750349</c:v>
                </c:pt>
                <c:pt idx="30">
                  <c:v>110713.14338574084</c:v>
                </c:pt>
                <c:pt idx="31">
                  <c:v>111688.82472432521</c:v>
                </c:pt>
                <c:pt idx="32">
                  <c:v>112996.76449514202</c:v>
                </c:pt>
                <c:pt idx="33">
                  <c:v>114613.00101182102</c:v>
                </c:pt>
                <c:pt idx="34">
                  <c:v>116516.68337188181</c:v>
                </c:pt>
                <c:pt idx="35">
                  <c:v>118689.59912401183</c:v>
                </c:pt>
                <c:pt idx="36">
                  <c:v>121115.78353671529</c:v>
                </c:pt>
                <c:pt idx="37">
                  <c:v>123781.19474554727</c:v>
                </c:pt>
                <c:pt idx="38">
                  <c:v>126673.44238395481</c:v>
                </c:pt>
                <c:pt idx="39">
                  <c:v>129781.55986596213</c:v>
                </c:pt>
                <c:pt idx="40">
                  <c:v>133095.8124764495</c:v>
                </c:pt>
                <c:pt idx="41">
                  <c:v>136607.53497569074</c:v>
                </c:pt>
                <c:pt idx="42">
                  <c:v>140308.99364235831</c:v>
                </c:pt>
                <c:pt idx="43">
                  <c:v>144193.26864053946</c:v>
                </c:pt>
                <c:pt idx="44">
                  <c:v>148254.1533595169</c:v>
                </c:pt>
                <c:pt idx="45">
                  <c:v>152486.06798415558</c:v>
                </c:pt>
                <c:pt idx="46">
                  <c:v>156883.98504226306</c:v>
                </c:pt>
                <c:pt idx="47">
                  <c:v>161443.36506899426</c:v>
                </c:pt>
                <c:pt idx="48">
                  <c:v>166160.10084711024</c:v>
                </c:pt>
                <c:pt idx="49">
                  <c:v>171071.89439156803</c:v>
                </c:pt>
                <c:pt idx="50">
                  <c:v>179194.56118575399</c:v>
                </c:pt>
                <c:pt idx="51">
                  <c:v>196526.08272460461</c:v>
                </c:pt>
                <c:pt idx="52">
                  <c:v>228191.7657740151</c:v>
                </c:pt>
                <c:pt idx="53">
                  <c:v>279202.0397761747</c:v>
                </c:pt>
                <c:pt idx="54">
                  <c:v>354691.97988728515</c:v>
                </c:pt>
                <c:pt idx="55">
                  <c:v>460014.20041656535</c:v>
                </c:pt>
                <c:pt idx="56">
                  <c:v>600788.18928108481</c:v>
                </c:pt>
                <c:pt idx="57">
                  <c:v>782931.31450680422</c:v>
                </c:pt>
                <c:pt idx="58">
                  <c:v>1012680.6518769707</c:v>
                </c:pt>
                <c:pt idx="59">
                  <c:v>1296609.6764165461</c:v>
                </c:pt>
                <c:pt idx="60">
                  <c:v>1641641.8442219994</c:v>
                </c:pt>
                <c:pt idx="61">
                  <c:v>2055062.1752780459</c:v>
                </c:pt>
                <c:pt idx="62">
                  <c:v>2544527.4882061365</c:v>
                </c:pt>
                <c:pt idx="63">
                  <c:v>3118075.6890936708</c:v>
                </c:pt>
                <c:pt idx="64">
                  <c:v>3784134.3736773315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A4-4A62-BDDD-EA625E619518}"/>
            </c:ext>
          </c:extLst>
        </c:ser>
        <c:ser>
          <c:idx val="3"/>
          <c:order val="3"/>
          <c:tx>
            <c:v>H3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'ENecesario(W1)'!$AH$7:$AH$71</c:f>
              <c:numCache>
                <c:formatCode>General</c:formatCode>
                <c:ptCount val="65"/>
                <c:pt idx="0">
                  <c:v>4105450.4118906246</c:v>
                </c:pt>
                <c:pt idx="1">
                  <c:v>2628166.5407232759</c:v>
                </c:pt>
                <c:pt idx="2">
                  <c:v>1825972.179821396</c:v>
                </c:pt>
                <c:pt idx="3">
                  <c:v>1342566.884685674</c:v>
                </c:pt>
                <c:pt idx="4">
                  <c:v>1029119.8270103632</c:v>
                </c:pt>
                <c:pt idx="5">
                  <c:v>814530.18373924738</c:v>
                </c:pt>
                <c:pt idx="6">
                  <c:v>661349.79773973639</c:v>
                </c:pt>
                <c:pt idx="7">
                  <c:v>548332.65333297756</c:v>
                </c:pt>
                <c:pt idx="8">
                  <c:v>462696.79904019018</c:v>
                </c:pt>
                <c:pt idx="9">
                  <c:v>396378.26644993108</c:v>
                </c:pt>
                <c:pt idx="10">
                  <c:v>344085.71978689678</c:v>
                </c:pt>
                <c:pt idx="11">
                  <c:v>302230.44540520542</c:v>
                </c:pt>
                <c:pt idx="12">
                  <c:v>268308.85290341964</c:v>
                </c:pt>
                <c:pt idx="13">
                  <c:v>240531.29497777903</c:v>
                </c:pt>
                <c:pt idx="14">
                  <c:v>217590.99262570456</c:v>
                </c:pt>
                <c:pt idx="15">
                  <c:v>198515.73129637056</c:v>
                </c:pt>
                <c:pt idx="16">
                  <c:v>182570.0996706041</c:v>
                </c:pt>
                <c:pt idx="17">
                  <c:v>169189.50242398636</c:v>
                </c:pt>
                <c:pt idx="18">
                  <c:v>157934.67011840508</c:v>
                </c:pt>
                <c:pt idx="19">
                  <c:v>148459.69999991701</c:v>
                </c:pt>
                <c:pt idx="20">
                  <c:v>140489.2160994123</c:v>
                </c:pt>
                <c:pt idx="21">
                  <c:v>133801.79162108584</c:v>
                </c:pt>
                <c:pt idx="22">
                  <c:v>128217.74551076503</c:v>
                </c:pt>
                <c:pt idx="23">
                  <c:v>123590.04220129162</c:v>
                </c:pt>
                <c:pt idx="24">
                  <c:v>119797.42440863737</c:v>
                </c:pt>
                <c:pt idx="25">
                  <c:v>116739.17401258282</c:v>
                </c:pt>
                <c:pt idx="26">
                  <c:v>114331.07438155881</c:v>
                </c:pt>
                <c:pt idx="27">
                  <c:v>112502.2692783339</c:v>
                </c:pt>
                <c:pt idx="28">
                  <c:v>111192.79782917006</c:v>
                </c:pt>
                <c:pt idx="29">
                  <c:v>110351.64423145246</c:v>
                </c:pt>
                <c:pt idx="30">
                  <c:v>109935.182925531</c:v>
                </c:pt>
                <c:pt idx="31">
                  <c:v>109905.93017205046</c:v>
                </c:pt>
                <c:pt idx="32">
                  <c:v>110231.53491999688</c:v>
                </c:pt>
                <c:pt idx="33">
                  <c:v>110883.95794734241</c:v>
                </c:pt>
                <c:pt idx="34">
                  <c:v>111838.80017486126</c:v>
                </c:pt>
                <c:pt idx="35">
                  <c:v>113074.74995703177</c:v>
                </c:pt>
                <c:pt idx="36">
                  <c:v>114573.12586033094</c:v>
                </c:pt>
                <c:pt idx="37">
                  <c:v>116317.49653060551</c:v>
                </c:pt>
                <c:pt idx="38">
                  <c:v>118293.36314530119</c:v>
                </c:pt>
                <c:pt idx="39">
                  <c:v>120487.89294572515</c:v>
                </c:pt>
                <c:pt idx="40">
                  <c:v>122889.69467024396</c:v>
                </c:pt>
                <c:pt idx="41">
                  <c:v>125488.62852415159</c:v>
                </c:pt>
                <c:pt idx="42">
                  <c:v>128275.64474667345</c:v>
                </c:pt>
                <c:pt idx="43">
                  <c:v>131242.64596049822</c:v>
                </c:pt>
                <c:pt idx="44">
                  <c:v>134382.36938231214</c:v>
                </c:pt>
                <c:pt idx="45">
                  <c:v>137688.28568554652</c:v>
                </c:pt>
                <c:pt idx="46">
                  <c:v>141154.51187820884</c:v>
                </c:pt>
                <c:pt idx="47">
                  <c:v>144775.73601936505</c:v>
                </c:pt>
                <c:pt idx="48">
                  <c:v>148571.2265136558</c:v>
                </c:pt>
                <c:pt idx="49">
                  <c:v>154991.23165969312</c:v>
                </c:pt>
                <c:pt idx="50">
                  <c:v>169242.66275722397</c:v>
                </c:pt>
                <c:pt idx="51">
                  <c:v>195790.15263183194</c:v>
                </c:pt>
                <c:pt idx="52">
                  <c:v>238995.85992811903</c:v>
                </c:pt>
                <c:pt idx="53">
                  <c:v>303335.00897987263</c:v>
                </c:pt>
                <c:pt idx="54">
                  <c:v>393478.12145561673</c:v>
                </c:pt>
                <c:pt idx="55">
                  <c:v>514334.45593670994</c:v>
                </c:pt>
                <c:pt idx="56">
                  <c:v>671079.26705801545</c:v>
                </c:pt>
                <c:pt idx="57">
                  <c:v>869173.00482109748</c:v>
                </c:pt>
                <c:pt idx="58">
                  <c:v>1114376.0208078849</c:v>
                </c:pt>
                <c:pt idx="59">
                  <c:v>1412760.5615379165</c:v>
                </c:pt>
                <c:pt idx="60">
                  <c:v>1770721.0214079986</c:v>
                </c:pt>
                <c:pt idx="61">
                  <c:v>2194983.0236307406</c:v>
                </c:pt>
                <c:pt idx="62">
                  <c:v>2692611.6795516643</c:v>
                </c:pt>
                <c:pt idx="63">
                  <c:v>3271019.2518143174</c:v>
                </c:pt>
                <c:pt idx="64">
                  <c:v>3937972.3717387561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A4-4A62-BDDD-EA625E619518}"/>
            </c:ext>
          </c:extLst>
        </c:ser>
        <c:ser>
          <c:idx val="4"/>
          <c:order val="4"/>
          <c:tx>
            <c:v>H4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'ENecesario(W1)'!$AP$7:$AP$71</c:f>
              <c:numCache>
                <c:formatCode>General</c:formatCode>
                <c:ptCount val="65"/>
                <c:pt idx="0">
                  <c:v>4832865.1122842235</c:v>
                </c:pt>
                <c:pt idx="1">
                  <c:v>3093609.8299225378</c:v>
                </c:pt>
                <c:pt idx="2">
                  <c:v>2149067.7305406951</c:v>
                </c:pt>
                <c:pt idx="3">
                  <c:v>1579787.1853839753</c:v>
                </c:pt>
                <c:pt idx="4">
                  <c:v>1210558.3840086006</c:v>
                </c:pt>
                <c:pt idx="5">
                  <c:v>957678.49500598235</c:v>
                </c:pt>
                <c:pt idx="6">
                  <c:v>777061.99800804828</c:v>
                </c:pt>
                <c:pt idx="7">
                  <c:v>643697.20409152017</c:v>
                </c:pt>
                <c:pt idx="8">
                  <c:v>542536.67099464952</c:v>
                </c:pt>
                <c:pt idx="9">
                  <c:v>464087.16137623868</c:v>
                </c:pt>
                <c:pt idx="10">
                  <c:v>402119.49577972479</c:v>
                </c:pt>
                <c:pt idx="11">
                  <c:v>352408.89198229974</c:v>
                </c:pt>
                <c:pt idx="12">
                  <c:v>312008.01975232939</c:v>
                </c:pt>
                <c:pt idx="13">
                  <c:v>278810.0322192919</c:v>
                </c:pt>
                <c:pt idx="14">
                  <c:v>251276.53506031612</c:v>
                </c:pt>
                <c:pt idx="15">
                  <c:v>228262.99707108122</c:v>
                </c:pt>
                <c:pt idx="16">
                  <c:v>208903.66161166714</c:v>
                </c:pt>
                <c:pt idx="17">
                  <c:v>192533.86370039661</c:v>
                </c:pt>
                <c:pt idx="18">
                  <c:v>178636.47717556264</c:v>
                </c:pt>
                <c:pt idx="19">
                  <c:v>166804.29100004156</c:v>
                </c:pt>
                <c:pt idx="20">
                  <c:v>156713.12118656564</c:v>
                </c:pt>
                <c:pt idx="21">
                  <c:v>148102.29494736757</c:v>
                </c:pt>
                <c:pt idx="22">
                  <c:v>140760.28430937667</c:v>
                </c:pt>
                <c:pt idx="23">
                  <c:v>134513.99291786904</c:v>
                </c:pt>
                <c:pt idx="24">
                  <c:v>129220.67167985508</c:v>
                </c:pt>
                <c:pt idx="25">
                  <c:v>124761.75105599426</c:v>
                </c:pt>
                <c:pt idx="26">
                  <c:v>121038.08774229878</c:v>
                </c:pt>
                <c:pt idx="27">
                  <c:v>117966.26684391535</c:v>
                </c:pt>
                <c:pt idx="28">
                  <c:v>115475.69993879925</c:v>
                </c:pt>
                <c:pt idx="29">
                  <c:v>113506.32911282397</c:v>
                </c:pt>
                <c:pt idx="30">
                  <c:v>112006.79655172605</c:v>
                </c:pt>
                <c:pt idx="31">
                  <c:v>110932.97484627237</c:v>
                </c:pt>
                <c:pt idx="32">
                  <c:v>110246.77900036138</c:v>
                </c:pt>
                <c:pt idx="33">
                  <c:v>109915.20008141897</c:v>
                </c:pt>
                <c:pt idx="34">
                  <c:v>109909.514483625</c:v>
                </c:pt>
                <c:pt idx="35">
                  <c:v>110204.63325588907</c:v>
                </c:pt>
                <c:pt idx="36">
                  <c:v>110778.56384153695</c:v>
                </c:pt>
                <c:pt idx="37">
                  <c:v>111611.96257044809</c:v>
                </c:pt>
                <c:pt idx="38">
                  <c:v>112687.76082867789</c:v>
                </c:pt>
                <c:pt idx="39">
                  <c:v>113990.85136160957</c:v>
                </c:pt>
                <c:pt idx="40">
                  <c:v>115507.82390462105</c:v>
                </c:pt>
                <c:pt idx="41">
                  <c:v>117226.74147174909</c:v>
                </c:pt>
                <c:pt idx="42">
                  <c:v>119136.95031008555</c:v>
                </c:pt>
                <c:pt idx="43">
                  <c:v>121228.91785194975</c:v>
                </c:pt>
                <c:pt idx="44">
                  <c:v>123494.09404825445</c:v>
                </c:pt>
                <c:pt idx="45">
                  <c:v>125924.79230554684</c:v>
                </c:pt>
                <c:pt idx="46">
                  <c:v>128514.08692218589</c:v>
                </c:pt>
                <c:pt idx="47">
                  <c:v>131272.617545196</c:v>
                </c:pt>
                <c:pt idx="48">
                  <c:v>136244.85505955943</c:v>
                </c:pt>
                <c:pt idx="49">
                  <c:v>147918.95764722928</c:v>
                </c:pt>
                <c:pt idx="50">
                  <c:v>170157.37635186181</c:v>
                </c:pt>
                <c:pt idx="51">
                  <c:v>206738.18671289057</c:v>
                </c:pt>
                <c:pt idx="52">
                  <c:v>261543.61295086856</c:v>
                </c:pt>
                <c:pt idx="53">
                  <c:v>338631.42214954429</c:v>
                </c:pt>
                <c:pt idx="54">
                  <c:v>442272.5898098817</c:v>
                </c:pt>
                <c:pt idx="55">
                  <c:v>576974.96192459285</c:v>
                </c:pt>
                <c:pt idx="56">
                  <c:v>747499.96236453264</c:v>
                </c:pt>
                <c:pt idx="57">
                  <c:v>958875.43147452851</c:v>
                </c:pt>
                <c:pt idx="58">
                  <c:v>1216406.1323641718</c:v>
                </c:pt>
                <c:pt idx="59">
                  <c:v>1525682.7625271725</c:v>
                </c:pt>
                <c:pt idx="60">
                  <c:v>1892589.9595964141</c:v>
                </c:pt>
                <c:pt idx="61">
                  <c:v>2323313.6021120669</c:v>
                </c:pt>
                <c:pt idx="62">
                  <c:v>2824347.5986773674</c:v>
                </c:pt>
                <c:pt idx="63">
                  <c:v>3402500.294324765</c:v>
                </c:pt>
                <c:pt idx="64">
                  <c:v>4064900.5825645695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A4-4A62-BDDD-EA625E619518}"/>
            </c:ext>
          </c:extLst>
        </c:ser>
        <c:ser>
          <c:idx val="5"/>
          <c:order val="5"/>
          <c:tx>
            <c:v>H5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'ENecesario(W1)'!$AX$7:$AX$71</c:f>
              <c:numCache>
                <c:formatCode>General</c:formatCode>
                <c:ptCount val="65"/>
                <c:pt idx="0">
                  <c:v>5726373.9214871936</c:v>
                </c:pt>
                <c:pt idx="1">
                  <c:v>3665365.5495038875</c:v>
                </c:pt>
                <c:pt idx="2">
                  <c:v>2546006.7649815241</c:v>
                </c:pt>
                <c:pt idx="3">
                  <c:v>1871278.4823386914</c:v>
                </c:pt>
                <c:pt idx="4">
                  <c:v>1433570.0647298619</c:v>
                </c:pt>
                <c:pt idx="5">
                  <c:v>1133699.861935246</c:v>
                </c:pt>
                <c:pt idx="6">
                  <c:v>919429.8004354462</c:v>
                </c:pt>
                <c:pt idx="7">
                  <c:v>761122.88300529623</c:v>
                </c:pt>
                <c:pt idx="8">
                  <c:v>640949.00605102396</c:v>
                </c:pt>
                <c:pt idx="9">
                  <c:v>547659.38706929912</c:v>
                </c:pt>
                <c:pt idx="10">
                  <c:v>473872.91018124239</c:v>
                </c:pt>
                <c:pt idx="11">
                  <c:v>414583.52164140798</c:v>
                </c:pt>
                <c:pt idx="12">
                  <c:v>366298.85361471964</c:v>
                </c:pt>
                <c:pt idx="13">
                  <c:v>326522.44874289882</c:v>
                </c:pt>
                <c:pt idx="14">
                  <c:v>293431.42379650817</c:v>
                </c:pt>
                <c:pt idx="15">
                  <c:v>265669.59414400917</c:v>
                </c:pt>
                <c:pt idx="16">
                  <c:v>242211.10234675862</c:v>
                </c:pt>
                <c:pt idx="17">
                  <c:v>222268.36967394539</c:v>
                </c:pt>
                <c:pt idx="18">
                  <c:v>205228.63995917953</c:v>
                </c:pt>
                <c:pt idx="19">
                  <c:v>190609.3983105513</c:v>
                </c:pt>
                <c:pt idx="20">
                  <c:v>178026.51073532779</c:v>
                </c:pt>
                <c:pt idx="21">
                  <c:v>167171.09930401621</c:v>
                </c:pt>
                <c:pt idx="22">
                  <c:v>157792.51904937087</c:v>
                </c:pt>
                <c:pt idx="23">
                  <c:v>149685.66362290087</c:v>
                </c:pt>
                <c:pt idx="24">
                  <c:v>142681.38593158888</c:v>
                </c:pt>
                <c:pt idx="25">
                  <c:v>136639.18986103003</c:v>
                </c:pt>
                <c:pt idx="26">
                  <c:v>131441.59794562042</c:v>
                </c:pt>
                <c:pt idx="27">
                  <c:v>126989.76971861316</c:v>
                </c:pt>
                <c:pt idx="28">
                  <c:v>123200.06313269644</c:v>
                </c:pt>
                <c:pt idx="29">
                  <c:v>120001.31401180141</c:v>
                </c:pt>
                <c:pt idx="30">
                  <c:v>117332.66715324727</c:v>
                </c:pt>
                <c:pt idx="31">
                  <c:v>115141.83484831471</c:v>
                </c:pt>
                <c:pt idx="32">
                  <c:v>113383.6891999136</c:v>
                </c:pt>
                <c:pt idx="33">
                  <c:v>112019.11706993854</c:v>
                </c:pt>
                <c:pt idx="34">
                  <c:v>111014.08311481077</c:v>
                </c:pt>
                <c:pt idx="35">
                  <c:v>110338.85878736468</c:v>
                </c:pt>
                <c:pt idx="36">
                  <c:v>109967.38453827798</c:v>
                </c:pt>
                <c:pt idx="37">
                  <c:v>109876.73955242919</c:v>
                </c:pt>
                <c:pt idx="38">
                  <c:v>110046.69878761249</c:v>
                </c:pt>
                <c:pt idx="39">
                  <c:v>110459.36126702727</c:v>
                </c:pt>
                <c:pt idx="40">
                  <c:v>111098.83682121674</c:v>
                </c:pt>
                <c:pt idx="41">
                  <c:v>111950.98100671866</c:v>
                </c:pt>
                <c:pt idx="42">
                  <c:v>113003.16991611339</c:v>
                </c:pt>
                <c:pt idx="43">
                  <c:v>114244.10816336097</c:v>
                </c:pt>
                <c:pt idx="44">
                  <c:v>115663.66457411913</c:v>
                </c:pt>
                <c:pt idx="45">
                  <c:v>117252.73110496359</c:v>
                </c:pt>
                <c:pt idx="46">
                  <c:v>119018.35675413112</c:v>
                </c:pt>
                <c:pt idx="47">
                  <c:v>122720.27646753771</c:v>
                </c:pt>
                <c:pt idx="48">
                  <c:v>132200.51485213407</c:v>
                </c:pt>
                <c:pt idx="49">
                  <c:v>150775.68199743953</c:v>
                </c:pt>
                <c:pt idx="50">
                  <c:v>181699.74835791116</c:v>
                </c:pt>
                <c:pt idx="51">
                  <c:v>228323.87873374487</c:v>
                </c:pt>
                <c:pt idx="52">
                  <c:v>294157.1357186634</c:v>
                </c:pt>
                <c:pt idx="53">
                  <c:v>382898.60618684581</c:v>
                </c:pt>
                <c:pt idx="54">
                  <c:v>498457.66506238148</c:v>
                </c:pt>
                <c:pt idx="55">
                  <c:v>644968.34985498502</c:v>
                </c:pt>
                <c:pt idx="56">
                  <c:v>826800.46035660175</c:v>
                </c:pt>
                <c:pt idx="57">
                  <c:v>1048568.6846277232</c:v>
                </c:pt>
                <c:pt idx="58">
                  <c:v>1315140.4602165292</c:v>
                </c:pt>
                <c:pt idx="59">
                  <c:v>1631642.9840808809</c:v>
                </c:pt>
                <c:pt idx="60">
                  <c:v>2003469.6255694947</c:v>
                </c:pt>
                <c:pt idx="61">
                  <c:v>2436285.9058455853</c:v>
                </c:pt>
                <c:pt idx="62">
                  <c:v>2936035.1525390656</c:v>
                </c:pt>
                <c:pt idx="63">
                  <c:v>3508943.9043044965</c:v>
                </c:pt>
                <c:pt idx="64">
                  <c:v>4161527.1179185649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A4-4A62-BDDD-EA625E619518}"/>
            </c:ext>
          </c:extLst>
        </c:ser>
        <c:ser>
          <c:idx val="6"/>
          <c:order val="6"/>
          <c:tx>
            <c:v>H6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'ENecesario(W1)'!$BF$7:$BF$71</c:f>
              <c:numCache>
                <c:formatCode>General</c:formatCode>
                <c:ptCount val="65"/>
                <c:pt idx="0">
                  <c:v>6833125.0982983643</c:v>
                </c:pt>
                <c:pt idx="1">
                  <c:v>4373607.5359612983</c:v>
                </c:pt>
                <c:pt idx="2">
                  <c:v>3037742.0114169293</c:v>
                </c:pt>
                <c:pt idx="3">
                  <c:v>2232433.0138088735</c:v>
                </c:pt>
                <c:pt idx="4">
                  <c:v>1709937.6690881844</c:v>
                </c:pt>
                <c:pt idx="5">
                  <c:v>1351901.9880194725</c:v>
                </c:pt>
                <c:pt idx="6">
                  <c:v>1095990.0004178139</c:v>
                </c:pt>
                <c:pt idx="7">
                  <c:v>906835.72030915541</c:v>
                </c:pt>
                <c:pt idx="8">
                  <c:v>763162.39050981705</c:v>
                </c:pt>
                <c:pt idx="9">
                  <c:v>651546.77919858834</c:v>
                </c:pt>
                <c:pt idx="10">
                  <c:v>563180.96165009751</c:v>
                </c:pt>
                <c:pt idx="11">
                  <c:v>492091.18737937819</c:v>
                </c:pt>
                <c:pt idx="12">
                  <c:v>434109.99532641878</c:v>
                </c:pt>
                <c:pt idx="13">
                  <c:v>386258.34968516539</c:v>
                </c:pt>
                <c:pt idx="14">
                  <c:v>346360.9942299336</c:v>
                </c:pt>
                <c:pt idx="15">
                  <c:v>312799.58664713422</c:v>
                </c:pt>
                <c:pt idx="16">
                  <c:v>284349.96581441083</c:v>
                </c:pt>
                <c:pt idx="17">
                  <c:v>260072.3098552179</c:v>
                </c:pt>
                <c:pt idx="18">
                  <c:v>239235.41358633721</c:v>
                </c:pt>
                <c:pt idx="19">
                  <c:v>221263.48942814677</c:v>
                </c:pt>
                <c:pt idx="20">
                  <c:v>205698.14824979281</c:v>
                </c:pt>
                <c:pt idx="21">
                  <c:v>192170.80437982091</c:v>
                </c:pt>
                <c:pt idx="22">
                  <c:v>180382.36184947495</c:v>
                </c:pt>
                <c:pt idx="23">
                  <c:v>170088.06616528169</c:v>
                </c:pt>
                <c:pt idx="24">
                  <c:v>161086.07320404073</c:v>
                </c:pt>
                <c:pt idx="25">
                  <c:v>153208.72820728584</c:v>
                </c:pt>
                <c:pt idx="26">
                  <c:v>146315.84469224856</c:v>
                </c:pt>
                <c:pt idx="27">
                  <c:v>140289.47580574112</c:v>
                </c:pt>
                <c:pt idx="28">
                  <c:v>135029.81104909547</c:v>
                </c:pt>
                <c:pt idx="29">
                  <c:v>130451.92983357636</c:v>
                </c:pt>
                <c:pt idx="30">
                  <c:v>126483.21332306802</c:v>
                </c:pt>
                <c:pt idx="31">
                  <c:v>123061.26631743817</c:v>
                </c:pt>
                <c:pt idx="32">
                  <c:v>120132.23745774514</c:v>
                </c:pt>
                <c:pt idx="33">
                  <c:v>117649.45282884401</c:v>
                </c:pt>
                <c:pt idx="34">
                  <c:v>115572.29787472951</c:v>
                </c:pt>
                <c:pt idx="35">
                  <c:v>113865.29736239815</c:v>
                </c:pt>
                <c:pt idx="36">
                  <c:v>112497.35429343201</c:v>
                </c:pt>
                <c:pt idx="37">
                  <c:v>111441.11713758188</c:v>
                </c:pt>
                <c:pt idx="38">
                  <c:v>110672.4512447163</c:v>
                </c:pt>
                <c:pt idx="39">
                  <c:v>110169.995284278</c:v>
                </c:pt>
                <c:pt idx="40">
                  <c:v>109914.78743277778</c:v>
                </c:pt>
                <c:pt idx="41">
                  <c:v>109889.94905081445</c:v>
                </c:pt>
                <c:pt idx="42">
                  <c:v>110080.41596271096</c:v>
                </c:pt>
                <c:pt idx="43">
                  <c:v>110472.70932439865</c:v>
                </c:pt>
                <c:pt idx="44">
                  <c:v>111054.73955180241</c:v>
                </c:pt>
                <c:pt idx="45">
                  <c:v>111833.3470609014</c:v>
                </c:pt>
                <c:pt idx="46">
                  <c:v>114372.29884157187</c:v>
                </c:pt>
                <c:pt idx="47">
                  <c:v>121935.61961519269</c:v>
                </c:pt>
                <c:pt idx="48">
                  <c:v>137348.67266857449</c:v>
                </c:pt>
                <c:pt idx="49">
                  <c:v>163397.24676820368</c:v>
                </c:pt>
                <c:pt idx="50">
                  <c:v>202958.66829867091</c:v>
                </c:pt>
                <c:pt idx="51">
                  <c:v>259052.28151224687</c:v>
                </c:pt>
                <c:pt idx="52">
                  <c:v>334866.37637806969</c:v>
                </c:pt>
                <c:pt idx="53">
                  <c:v>433775.29508161807</c:v>
                </c:pt>
                <c:pt idx="54">
                  <c:v>559351.65135304665</c:v>
                </c:pt>
                <c:pt idx="55">
                  <c:v>715375.82829524647</c:v>
                </c:pt>
                <c:pt idx="56">
                  <c:v>905843.83427847456</c:v>
                </c:pt>
                <c:pt idx="57">
                  <c:v>1134974.1056832098</c:v>
                </c:pt>
                <c:pt idx="58">
                  <c:v>1407213.6000651915</c:v>
                </c:pt>
                <c:pt idx="59">
                  <c:v>1727243.3911586376</c:v>
                </c:pt>
                <c:pt idx="60">
                  <c:v>2099983.9015334579</c:v>
                </c:pt>
                <c:pt idx="61">
                  <c:v>2530599.8633387526</c:v>
                </c:pt>
                <c:pt idx="62">
                  <c:v>3024505.0692092348</c:v>
                </c:pt>
                <c:pt idx="63">
                  <c:v>3587366.9570868625</c:v>
                </c:pt>
                <c:pt idx="64">
                  <c:v>4225111.0605198266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A4-4A62-BDDD-EA625E619518}"/>
            </c:ext>
          </c:extLst>
        </c:ser>
        <c:ser>
          <c:idx val="7"/>
          <c:order val="7"/>
          <c:tx>
            <c:v>H7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'ENecesario(W1)'!$A$7:$A$71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'ENecesario(W1)'!$BN$7:$BN$71</c:f>
              <c:numCache>
                <c:formatCode>General</c:formatCode>
                <c:ptCount val="65"/>
                <c:pt idx="0">
                  <c:v>8216520.1639181785</c:v>
                </c:pt>
                <c:pt idx="1">
                  <c:v>5258911.7659780392</c:v>
                </c:pt>
                <c:pt idx="2">
                  <c:v>3652449.972568762</c:v>
                </c:pt>
                <c:pt idx="3">
                  <c:v>2683950.3607473783</c:v>
                </c:pt>
                <c:pt idx="4">
                  <c:v>2055507.5250055774</c:v>
                </c:pt>
                <c:pt idx="5">
                  <c:v>1624803.3732809853</c:v>
                </c:pt>
                <c:pt idx="6">
                  <c:v>1316880.2602851856</c:v>
                </c:pt>
                <c:pt idx="7">
                  <c:v>1089211.3588258859</c:v>
                </c:pt>
                <c:pt idx="8">
                  <c:v>916211.83220076398</c:v>
                </c:pt>
                <c:pt idx="9">
                  <c:v>781740.53675722948</c:v>
                </c:pt>
                <c:pt idx="10">
                  <c:v>675206.13501656952</c:v>
                </c:pt>
                <c:pt idx="11">
                  <c:v>589425.32224212517</c:v>
                </c:pt>
                <c:pt idx="12">
                  <c:v>519386.81735552492</c:v>
                </c:pt>
                <c:pt idx="13">
                  <c:v>461508.39473985351</c:v>
                </c:pt>
                <c:pt idx="14">
                  <c:v>413174.35620203667</c:v>
                </c:pt>
                <c:pt idx="15">
                  <c:v>372438.68038815277</c:v>
                </c:pt>
                <c:pt idx="16">
                  <c:v>337829.34023400053</c:v>
                </c:pt>
                <c:pt idx="17">
                  <c:v>308216.22042016796</c:v>
                </c:pt>
                <c:pt idx="18">
                  <c:v>282720.06265334343</c:v>
                </c:pt>
                <c:pt idx="19">
                  <c:v>260648.49492059837</c:v>
                </c:pt>
                <c:pt idx="20">
                  <c:v>241450.31428448492</c:v>
                </c:pt>
                <c:pt idx="21">
                  <c:v>224682.30450986116</c:v>
                </c:pt>
                <c:pt idx="22">
                  <c:v>209984.80921427728</c:v>
                </c:pt>
                <c:pt idx="23">
                  <c:v>197063.51645472361</c:v>
                </c:pt>
                <c:pt idx="24">
                  <c:v>185675.7130730424</c:v>
                </c:pt>
                <c:pt idx="25">
                  <c:v>175619.79787687652</c:v>
                </c:pt>
                <c:pt idx="26">
                  <c:v>166727.19967661554</c:v>
                </c:pt>
                <c:pt idx="27">
                  <c:v>158856.08995241919</c:v>
                </c:pt>
                <c:pt idx="28">
                  <c:v>151886.44875540372</c:v>
                </c:pt>
                <c:pt idx="29">
                  <c:v>145716.16092879491</c:v>
                </c:pt>
                <c:pt idx="30">
                  <c:v>140257.90390517822</c:v>
                </c:pt>
                <c:pt idx="31">
                  <c:v>135436.64881654474</c:v>
                </c:pt>
                <c:pt idx="32">
                  <c:v>131187.64057767042</c:v>
                </c:pt>
                <c:pt idx="33">
                  <c:v>127454.75482303598</c:v>
                </c:pt>
                <c:pt idx="34">
                  <c:v>124189.15343439997</c:v>
                </c:pt>
                <c:pt idx="35">
                  <c:v>121348.17821739864</c:v>
                </c:pt>
                <c:pt idx="36">
                  <c:v>118894.4357093165</c:v>
                </c:pt>
                <c:pt idx="37">
                  <c:v>116795.03629126362</c:v>
                </c:pt>
                <c:pt idx="38">
                  <c:v>115020.95857256705</c:v>
                </c:pt>
                <c:pt idx="39">
                  <c:v>113546.51601888641</c:v>
                </c:pt>
                <c:pt idx="40">
                  <c:v>112348.90745082368</c:v>
                </c:pt>
                <c:pt idx="41">
                  <c:v>111407.83667243573</c:v>
                </c:pt>
                <c:pt idx="42">
                  <c:v>110705.18934085424</c:v>
                </c:pt>
                <c:pt idx="43">
                  <c:v>110224.75743991126</c:v>
                </c:pt>
                <c:pt idx="44">
                  <c:v>109976.75461418851</c:v>
                </c:pt>
                <c:pt idx="45">
                  <c:v>111390.94411538974</c:v>
                </c:pt>
                <c:pt idx="46">
                  <c:v>117214.49773388376</c:v>
                </c:pt>
                <c:pt idx="47">
                  <c:v>129834.33800064938</c:v>
                </c:pt>
                <c:pt idx="48">
                  <c:v>151620.00094596128</c:v>
                </c:pt>
                <c:pt idx="49">
                  <c:v>185027.61909157792</c:v>
                </c:pt>
                <c:pt idx="50">
                  <c:v>232640.93234188994</c:v>
                </c:pt>
                <c:pt idx="51">
                  <c:v>297193.44603333215</c:v>
                </c:pt>
                <c:pt idx="52">
                  <c:v>381582.65429266461</c:v>
                </c:pt>
                <c:pt idx="53">
                  <c:v>488880.29497574171</c:v>
                </c:pt>
                <c:pt idx="54">
                  <c:v>622340.38756844809</c:v>
                </c:pt>
                <c:pt idx="55">
                  <c:v>785405.93038215151</c:v>
                </c:pt>
                <c:pt idx="56">
                  <c:v>981714.73615978821</c:v>
                </c:pt>
                <c:pt idx="57">
                  <c:v>1215104.6861319861</c:v>
                </c:pt>
                <c:pt idx="58">
                  <c:v>1489618.5750329623</c:v>
                </c:pt>
                <c:pt idx="59">
                  <c:v>1809508.657979267</c:v>
                </c:pt>
                <c:pt idx="60">
                  <c:v>2179240.9730915311</c:v>
                </c:pt>
                <c:pt idx="61">
                  <c:v>2603499.4905906613</c:v>
                </c:pt>
                <c:pt idx="62">
                  <c:v>3087190.1241338435</c:v>
                </c:pt>
                <c:pt idx="63">
                  <c:v>3635444.6301970831</c:v>
                </c:pt>
                <c:pt idx="64">
                  <c:v>4253624.4145173207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A4-4A62-BDDD-EA625E61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44096"/>
        <c:axId val="2042329408"/>
      </c:scatterChart>
      <c:valAx>
        <c:axId val="20423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29408"/>
        <c:crosses val="autoZero"/>
        <c:crossBetween val="midCat"/>
      </c:valAx>
      <c:valAx>
        <c:axId val="2042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78832918639943E-2"/>
          <c:y val="2.3581457834779104E-2"/>
          <c:w val="0.92408508533909095"/>
          <c:h val="0.89829717709529788"/>
        </c:manualLayout>
      </c:layout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'ENecesario(W1)'!$E$108:$E$172</c:f>
              <c:numCache>
                <c:formatCode>General</c:formatCode>
                <c:ptCount val="65"/>
                <c:pt idx="0">
                  <c:v>-23.048158852968168</c:v>
                </c:pt>
                <c:pt idx="1">
                  <c:v>-16.650314442668527</c:v>
                </c:pt>
                <c:pt idx="2">
                  <c:v>-12.094978279236006</c:v>
                </c:pt>
                <c:pt idx="3">
                  <c:v>-8.6032668575492828</c:v>
                </c:pt>
                <c:pt idx="4">
                  <c:v>-5.7856359409874889</c:v>
                </c:pt>
                <c:pt idx="5">
                  <c:v>-3.4256951847854822</c:v>
                </c:pt>
                <c:pt idx="6">
                  <c:v>-1.3937043407473699</c:v>
                </c:pt>
                <c:pt idx="7">
                  <c:v>0.39276308707464708</c:v>
                </c:pt>
                <c:pt idx="8">
                  <c:v>1.9884977518780043</c:v>
                </c:pt>
                <c:pt idx="9">
                  <c:v>3.4312563222055026</c:v>
                </c:pt>
                <c:pt idx="10">
                  <c:v>4.7478236022320246</c:v>
                </c:pt>
                <c:pt idx="11">
                  <c:v>5.9576524049154873</c:v>
                </c:pt>
                <c:pt idx="12">
                  <c:v>7.0751402344309691</c:v>
                </c:pt>
                <c:pt idx="13">
                  <c:v>8.1111036408286523</c:v>
                </c:pt>
                <c:pt idx="14">
                  <c:v>9.0737619529435491</c:v>
                </c:pt>
                <c:pt idx="15">
                  <c:v>9.969410924981581</c:v>
                </c:pt>
                <c:pt idx="16">
                  <c:v>10.802894666793366</c:v>
                </c:pt>
                <c:pt idx="17">
                  <c:v>11.57794297688403</c:v>
                </c:pt>
                <c:pt idx="18">
                  <c:v>12.297416812846432</c:v>
                </c:pt>
                <c:pt idx="19">
                  <c:v>12.963489785421265</c:v>
                </c:pt>
                <c:pt idx="20">
                  <c:v>13.577784278132214</c:v>
                </c:pt>
                <c:pt idx="21">
                  <c:v>14.141474849789326</c:v>
                </c:pt>
                <c:pt idx="22">
                  <c:v>14.655367688340494</c:v>
                </c:pt>
                <c:pt idx="23">
                  <c:v>15.119962290632738</c:v>
                </c:pt>
                <c:pt idx="24">
                  <c:v>15.535499781487283</c:v>
                </c:pt>
                <c:pt idx="25">
                  <c:v>15.902001070163422</c:v>
                </c:pt>
                <c:pt idx="26">
                  <c:v>16.219297191007215</c:v>
                </c:pt>
                <c:pt idx="27">
                  <c:v>16.487053570529667</c:v>
                </c:pt>
                <c:pt idx="28">
                  <c:v>16.704789528321026</c:v>
                </c:pt>
                <c:pt idx="29">
                  <c:v>16.871894002712601</c:v>
                </c:pt>
                <c:pt idx="30">
                  <c:v>16.987638259187918</c:v>
                </c:pt>
                <c:pt idx="31">
                  <c:v>17.051186166371028</c:v>
                </c:pt>
                <c:pt idx="32">
                  <c:v>17.061602494415339</c:v>
                </c:pt>
                <c:pt idx="33">
                  <c:v>17.017859592133156</c:v>
                </c:pt>
                <c:pt idx="34">
                  <c:v>16.918842723964076</c:v>
                </c:pt>
                <c:pt idx="35">
                  <c:v>16.763354289931407</c:v>
                </c:pt>
                <c:pt idx="36">
                  <c:v>16.550117106766109</c:v>
                </c:pt>
                <c:pt idx="37">
                  <c:v>16.277776893227944</c:v>
                </c:pt>
                <c:pt idx="38">
                  <c:v>15.944904074990724</c:v>
                </c:pt>
                <c:pt idx="39">
                  <c:v>15.549995002546403</c:v>
                </c:pt>
                <c:pt idx="40">
                  <c:v>15.091472658116873</c:v>
                </c:pt>
                <c:pt idx="41">
                  <c:v>14.567686913557381</c:v>
                </c:pt>
                <c:pt idx="42">
                  <c:v>13.97691438994114</c:v>
                </c:pt>
                <c:pt idx="43">
                  <c:v>13.317357960355134</c:v>
                </c:pt>
                <c:pt idx="44">
                  <c:v>12.58714592997025</c:v>
                </c:pt>
                <c:pt idx="45">
                  <c:v>11.784330921327552</c:v>
                </c:pt>
                <c:pt idx="46">
                  <c:v>10.906888487741529</c:v>
                </c:pt>
                <c:pt idx="47">
                  <c:v>9.9527154735458989</c:v>
                </c:pt>
                <c:pt idx="48">
                  <c:v>8.9196281364346639</c:v>
                </c:pt>
                <c:pt idx="49">
                  <c:v>7.8053600442460596</c:v>
                </c:pt>
                <c:pt idx="50">
                  <c:v>6.6075597560965207</c:v>
                </c:pt>
                <c:pt idx="51">
                  <c:v>5.3012674486168603</c:v>
                </c:pt>
                <c:pt idx="52">
                  <c:v>3.179220889391146</c:v>
                </c:pt>
                <c:pt idx="53">
                  <c:v>-0.957008894309062</c:v>
                </c:pt>
                <c:pt idx="54">
                  <c:v>-8.215752212557474</c:v>
                </c:pt>
                <c:pt idx="55">
                  <c:v>-19.7567747820177</c:v>
                </c:pt>
                <c:pt idx="56">
                  <c:v>-36.832921148301516</c:v>
                </c:pt>
                <c:pt idx="57">
                  <c:v>-60.810132976100029</c:v>
                </c:pt>
                <c:pt idx="58">
                  <c:v>-93.180884064313133</c:v>
                </c:pt>
                <c:pt idx="59">
                  <c:v>-135.57490275321481</c:v>
                </c:pt>
                <c:pt idx="60">
                  <c:v>-189.76860289834224</c:v>
                </c:pt>
                <c:pt idx="61">
                  <c:v>-257.69385237297297</c:v>
                </c:pt>
                <c:pt idx="62">
                  <c:v>-341.44639314791681</c:v>
                </c:pt>
                <c:pt idx="63">
                  <c:v>-443.29408375405325</c:v>
                </c:pt>
                <c:pt idx="64">
                  <c:v>-565.68506315967068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4-4AB2-9056-F0CDC0DA6581}"/>
            </c:ext>
          </c:extLst>
        </c:ser>
        <c:ser>
          <c:idx val="1"/>
          <c:order val="1"/>
          <c:tx>
            <c:v>H=1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'ENecesario(W1)'!$I$108:$I$172</c:f>
              <c:numCache>
                <c:formatCode>General</c:formatCode>
                <c:ptCount val="65"/>
                <c:pt idx="0">
                  <c:v>-28.026385872481534</c:v>
                </c:pt>
                <c:pt idx="1">
                  <c:v>-20.925011123928964</c:v>
                </c:pt>
                <c:pt idx="2">
                  <c:v>-15.945325903177501</c:v>
                </c:pt>
                <c:pt idx="3">
                  <c:v>-12.18563308505211</c:v>
                </c:pt>
                <c:pt idx="4">
                  <c:v>-9.1947862957668569</c:v>
                </c:pt>
                <c:pt idx="5">
                  <c:v>-6.7219825109130475</c:v>
                </c:pt>
                <c:pt idx="6">
                  <c:v>-4.6166530548603815</c:v>
                </c:pt>
                <c:pt idx="7">
                  <c:v>-2.7829447323518934</c:v>
                </c:pt>
                <c:pt idx="8">
                  <c:v>-1.1569513715168942</c:v>
                </c:pt>
                <c:pt idx="9">
                  <c:v>0.30555195050064282</c:v>
                </c:pt>
                <c:pt idx="10">
                  <c:v>1.6361218772444528</c:v>
                </c:pt>
                <c:pt idx="11">
                  <c:v>2.8578573427204024</c:v>
                </c:pt>
                <c:pt idx="12">
                  <c:v>3.9880332084754047</c:v>
                </c:pt>
                <c:pt idx="13">
                  <c:v>5.0398059039403602</c:v>
                </c:pt>
                <c:pt idx="14">
                  <c:v>6.0233516895341417</c:v>
                </c:pt>
                <c:pt idx="15">
                  <c:v>6.9466463865916239</c:v>
                </c:pt>
                <c:pt idx="16">
                  <c:v>7.816011923407153</c:v>
                </c:pt>
                <c:pt idx="17">
                  <c:v>8.6365073238545076</c:v>
                </c:pt>
                <c:pt idx="18">
                  <c:v>9.412213557709407</c:v>
                </c:pt>
                <c:pt idx="19">
                  <c:v>10.146444497142614</c:v>
                </c:pt>
                <c:pt idx="20">
                  <c:v>10.841905486305935</c:v>
                </c:pt>
                <c:pt idx="21">
                  <c:v>11.500814156556947</c:v>
                </c:pt>
                <c:pt idx="22">
                  <c:v>12.124993623423409</c:v>
                </c:pt>
                <c:pt idx="23">
                  <c:v>12.71594520258741</c:v>
                </c:pt>
                <c:pt idx="24">
                  <c:v>13.244800836185135</c:v>
                </c:pt>
                <c:pt idx="25">
                  <c:v>13.64468327355088</c:v>
                </c:pt>
                <c:pt idx="26">
                  <c:v>14.000726886621214</c:v>
                </c:pt>
                <c:pt idx="27">
                  <c:v>14.312961665665535</c:v>
                </c:pt>
                <c:pt idx="28">
                  <c:v>14.581259902287524</c:v>
                </c:pt>
                <c:pt idx="29">
                  <c:v>14.805354634938523</c:v>
                </c:pt>
                <c:pt idx="30">
                  <c:v>14.984854636021732</c:v>
                </c:pt>
                <c:pt idx="31">
                  <c:v>15.119256615513839</c:v>
                </c:pt>
                <c:pt idx="32">
                  <c:v>15.207955165998086</c:v>
                </c:pt>
                <c:pt idx="33">
                  <c:v>15.250250860377372</c:v>
                </c:pt>
                <c:pt idx="34">
                  <c:v>15.245356826747569</c:v>
                </c:pt>
                <c:pt idx="35">
                  <c:v>15.192404058089704</c:v>
                </c:pt>
                <c:pt idx="36">
                  <c:v>15.090445662599974</c:v>
                </c:pt>
                <c:pt idx="37">
                  <c:v>14.938460219970686</c:v>
                </c:pt>
                <c:pt idx="38">
                  <c:v>14.735354377069061</c:v>
                </c:pt>
                <c:pt idx="39">
                  <c:v>14.479964791228607</c:v>
                </c:pt>
                <c:pt idx="40">
                  <c:v>14.171059509264341</c:v>
                </c:pt>
                <c:pt idx="41">
                  <c:v>13.807338854211844</c:v>
                </c:pt>
                <c:pt idx="42">
                  <c:v>13.387435878802441</c:v>
                </c:pt>
                <c:pt idx="43">
                  <c:v>12.909916434163133</c:v>
                </c:pt>
                <c:pt idx="44">
                  <c:v>12.373278893653236</c:v>
                </c:pt>
                <c:pt idx="45">
                  <c:v>11.775953564727667</c:v>
                </c:pt>
                <c:pt idx="46">
                  <c:v>11.116301815936833</c:v>
                </c:pt>
                <c:pt idx="47">
                  <c:v>10.392614941391672</c:v>
                </c:pt>
                <c:pt idx="48">
                  <c:v>9.6031127810493153</c:v>
                </c:pt>
                <c:pt idx="49">
                  <c:v>8.7459421118571807</c:v>
                </c:pt>
                <c:pt idx="50">
                  <c:v>7.8080129374488569</c:v>
                </c:pt>
                <c:pt idx="51">
                  <c:v>6.2422568071346474</c:v>
                </c:pt>
                <c:pt idx="52">
                  <c:v>3.0127950269805845</c:v>
                </c:pt>
                <c:pt idx="53">
                  <c:v>-2.8379035696870689</c:v>
                </c:pt>
                <c:pt idx="54">
                  <c:v>-12.310381289968261</c:v>
                </c:pt>
                <c:pt idx="55">
                  <c:v>-26.48664809767898</c:v>
                </c:pt>
                <c:pt idx="56">
                  <c:v>-46.548171486991968</c:v>
                </c:pt>
                <c:pt idx="57">
                  <c:v>-73.787855400076538</c:v>
                </c:pt>
                <c:pt idx="58">
                  <c:v>-109.61958291089664</c:v>
                </c:pt>
                <c:pt idx="59">
                  <c:v>-155.58661219378439</c:v>
                </c:pt>
                <c:pt idx="60">
                  <c:v>-213.36939020945593</c:v>
                </c:pt>
                <c:pt idx="61">
                  <c:v>-284.79306372891313</c:v>
                </c:pt>
                <c:pt idx="62">
                  <c:v>-371.83483885521343</c:v>
                </c:pt>
                <c:pt idx="63">
                  <c:v>-476.63127625033769</c:v>
                </c:pt>
                <c:pt idx="64">
                  <c:v>-601.48557496634226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4-4AB2-9056-F0CDC0DA6581}"/>
            </c:ext>
          </c:extLst>
        </c:ser>
        <c:ser>
          <c:idx val="2"/>
          <c:order val="2"/>
          <c:tx>
            <c:v>H=2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'ENecesario(W1)'!$M$108:$M$172</c:f>
              <c:numCache>
                <c:formatCode>General</c:formatCode>
                <c:ptCount val="65"/>
                <c:pt idx="0">
                  <c:v>-33.78080015918016</c:v>
                </c:pt>
                <c:pt idx="1">
                  <c:v>-25.786141518667765</c:v>
                </c:pt>
                <c:pt idx="2">
                  <c:v>-20.253512475625474</c:v>
                </c:pt>
                <c:pt idx="3">
                  <c:v>-16.134138192130877</c:v>
                </c:pt>
                <c:pt idx="4">
                  <c:v>-12.903387181933905</c:v>
                </c:pt>
                <c:pt idx="5">
                  <c:v>-10.269663236670699</c:v>
                </c:pt>
                <c:pt idx="6">
                  <c:v>-8.0579403692832621</c:v>
                </c:pt>
                <c:pt idx="7">
                  <c:v>-6.1568117565689429</c:v>
                </c:pt>
                <c:pt idx="8">
                  <c:v>-4.492006635683353</c:v>
                </c:pt>
                <c:pt idx="9">
                  <c:v>-3.0121252674068004</c:v>
                </c:pt>
                <c:pt idx="10">
                  <c:v>-1.6804841589423405</c:v>
                </c:pt>
                <c:pt idx="11">
                  <c:v>-0.47022084960977817</c:v>
                </c:pt>
                <c:pt idx="12">
                  <c:v>0.6387673106971441</c:v>
                </c:pt>
                <c:pt idx="13">
                  <c:v>1.6618052372337282</c:v>
                </c:pt>
                <c:pt idx="14">
                  <c:v>2.6107624831005936</c:v>
                </c:pt>
                <c:pt idx="15">
                  <c:v>3.4949587981457282</c:v>
                </c:pt>
                <c:pt idx="16">
                  <c:v>4.321798643534108</c:v>
                </c:pt>
                <c:pt idx="17">
                  <c:v>5.0972249247758423</c:v>
                </c:pt>
                <c:pt idx="18">
                  <c:v>5.8260494003392687</c:v>
                </c:pt>
                <c:pt idx="19">
                  <c:v>6.5121972501411616</c:v>
                </c:pt>
                <c:pt idx="20">
                  <c:v>7.1588908023480897</c:v>
                </c:pt>
                <c:pt idx="21">
                  <c:v>7.7687894240058304</c:v>
                </c:pt>
                <c:pt idx="22">
                  <c:v>8.344097353483356</c:v>
                </c:pt>
                <c:pt idx="23">
                  <c:v>8.8866477666987436</c:v>
                </c:pt>
                <c:pt idx="24">
                  <c:v>9.3979690028510063</c:v>
                </c:pt>
                <c:pt idx="25">
                  <c:v>9.8793372429498714</c:v>
                </c:pt>
                <c:pt idx="26">
                  <c:v>10.331818791329269</c:v>
                </c:pt>
                <c:pt idx="27">
                  <c:v>10.756304298784476</c:v>
                </c:pt>
                <c:pt idx="28">
                  <c:v>11.15353668244075</c:v>
                </c:pt>
                <c:pt idx="29">
                  <c:v>11.524134072889355</c:v>
                </c:pt>
                <c:pt idx="30">
                  <c:v>11.868608806799227</c:v>
                </c:pt>
                <c:pt idx="31">
                  <c:v>12.187383251083903</c:v>
                </c:pt>
                <c:pt idx="32">
                  <c:v>12.48080307051643</c:v>
                </c:pt>
                <c:pt idx="33">
                  <c:v>12.749148418794098</c:v>
                </c:pt>
                <c:pt idx="34">
                  <c:v>12.992643432343222</c:v>
                </c:pt>
                <c:pt idx="35">
                  <c:v>13.211464328633213</c:v>
                </c:pt>
                <c:pt idx="36">
                  <c:v>13.247441444489686</c:v>
                </c:pt>
                <c:pt idx="37">
                  <c:v>13.192398884429306</c:v>
                </c:pt>
                <c:pt idx="38">
                  <c:v>13.094151685634584</c:v>
                </c:pt>
                <c:pt idx="39">
                  <c:v>12.95183976576322</c:v>
                </c:pt>
                <c:pt idx="40">
                  <c:v>12.764537670749604</c:v>
                </c:pt>
                <c:pt idx="41">
                  <c:v>12.531256129233824</c:v>
                </c:pt>
                <c:pt idx="42">
                  <c:v>12.250943128816932</c:v>
                </c:pt>
                <c:pt idx="43">
                  <c:v>11.922484570959949</c:v>
                </c:pt>
                <c:pt idx="44">
                  <c:v>11.544704551427349</c:v>
                </c:pt>
                <c:pt idx="45">
                  <c:v>11.116365305061526</c:v>
                </c:pt>
                <c:pt idx="46">
                  <c:v>10.636166846999823</c:v>
                </c:pt>
                <c:pt idx="47">
                  <c:v>10.102746336930776</c:v>
                </c:pt>
                <c:pt idx="48">
                  <c:v>9.5146771884063099</c:v>
                </c:pt>
                <c:pt idx="49">
                  <c:v>8.8647306186139545</c:v>
                </c:pt>
                <c:pt idx="50">
                  <c:v>7.7249831458439671</c:v>
                </c:pt>
                <c:pt idx="51">
                  <c:v>5.2073202900260114</c:v>
                </c:pt>
                <c:pt idx="52">
                  <c:v>0.48857556231111376</c:v>
                </c:pt>
                <c:pt idx="53">
                  <c:v>-7.2909440194687205</c:v>
                </c:pt>
                <c:pt idx="54">
                  <c:v>-19.06226261601913</c:v>
                </c:pt>
                <c:pt idx="55">
                  <c:v>-35.843689005327967</c:v>
                </c:pt>
                <c:pt idx="56">
                  <c:v>-58.751397017897588</c:v>
                </c:pt>
                <c:pt idx="57">
                  <c:v>-89.007858082947408</c:v>
                </c:pt>
                <c:pt idx="58">
                  <c:v>-127.94927293254955</c:v>
                </c:pt>
                <c:pt idx="59">
                  <c:v>-177.03250011104913</c:v>
                </c:pt>
                <c:pt idx="60">
                  <c:v>-237.84172626032318</c:v>
                </c:pt>
                <c:pt idx="61">
                  <c:v>-312.09500995116156</c:v>
                </c:pt>
                <c:pt idx="62">
                  <c:v>-401.65077476617955</c:v>
                </c:pt>
                <c:pt idx="63">
                  <c:v>-508.51429738835236</c:v>
                </c:pt>
                <c:pt idx="64">
                  <c:v>-634.84421946814973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D4-4AB2-9056-F0CDC0DA6581}"/>
            </c:ext>
          </c:extLst>
        </c:ser>
        <c:ser>
          <c:idx val="3"/>
          <c:order val="3"/>
          <c:tx>
            <c:v>H=3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'ENecesario(W1)'!$Q$108:$Q$172</c:f>
              <c:numCache>
                <c:formatCode>General</c:formatCode>
                <c:ptCount val="65"/>
                <c:pt idx="0">
                  <c:v>-40.532270926058374</c:v>
                </c:pt>
                <c:pt idx="1">
                  <c:v>-31.407717138686714</c:v>
                </c:pt>
                <c:pt idx="2">
                  <c:v>-25.158201726343201</c:v>
                </c:pt>
                <c:pt idx="3">
                  <c:v>-20.556889703179859</c:v>
                </c:pt>
                <c:pt idx="4">
                  <c:v>-16.990165257064099</c:v>
                </c:pt>
                <c:pt idx="5">
                  <c:v>-14.117023330703541</c:v>
                </c:pt>
                <c:pt idx="6">
                  <c:v>-11.732808075590231</c:v>
                </c:pt>
                <c:pt idx="7">
                  <c:v>-9.7072654542847268</c:v>
                </c:pt>
                <c:pt idx="8">
                  <c:v>-7.9535632224253163</c:v>
                </c:pt>
                <c:pt idx="9">
                  <c:v>-6.4116052852225138</c:v>
                </c:pt>
                <c:pt idx="10">
                  <c:v>-5.0384942619623594</c:v>
                </c:pt>
                <c:pt idx="11">
                  <c:v>-3.8028070592283818</c:v>
                </c:pt>
                <c:pt idx="12">
                  <c:v>-2.6810156686380608</c:v>
                </c:pt>
                <c:pt idx="13">
                  <c:v>-1.6551701335441671</c:v>
                </c:pt>
                <c:pt idx="14">
                  <c:v>-0.7113530288766553</c:v>
                </c:pt>
                <c:pt idx="15">
                  <c:v>0.16137865467825901</c:v>
                </c:pt>
                <c:pt idx="16">
                  <c:v>0.97173471736357109</c:v>
                </c:pt>
                <c:pt idx="17">
                  <c:v>1.7267216130061525</c:v>
                </c:pt>
                <c:pt idx="18">
                  <c:v>2.4320281597437776</c:v>
                </c:pt>
                <c:pt idx="19">
                  <c:v>3.0923109299772253</c:v>
                </c:pt>
                <c:pt idx="20">
                  <c:v>3.7114085477441154</c:v>
                </c:pt>
                <c:pt idx="21">
                  <c:v>4.2925047741797098</c:v>
                </c:pt>
                <c:pt idx="22">
                  <c:v>4.8382541487228101</c:v>
                </c:pt>
                <c:pt idx="23">
                  <c:v>5.3508798775537123</c:v>
                </c:pt>
                <c:pt idx="24">
                  <c:v>5.8322508941687792</c:v>
                </c:pt>
                <c:pt idx="25">
                  <c:v>6.2839431085589235</c:v>
                </c:pt>
                <c:pt idx="26">
                  <c:v>6.7072885252139374</c:v>
                </c:pt>
                <c:pt idx="27">
                  <c:v>7.1034149616160684</c:v>
                </c:pt>
                <c:pt idx="28">
                  <c:v>7.4732784169119162</c:v>
                </c:pt>
                <c:pt idx="29">
                  <c:v>7.8176896443177455</c:v>
                </c:pt>
                <c:pt idx="30">
                  <c:v>8.1373361158884077</c:v>
                </c:pt>
                <c:pt idx="31">
                  <c:v>8.4328002970986198</c:v>
                </c:pt>
                <c:pt idx="32">
                  <c:v>8.7045749452224346</c:v>
                </c:pt>
                <c:pt idx="33">
                  <c:v>8.9530759914639546</c:v>
                </c:pt>
                <c:pt idx="34">
                  <c:v>9.1786534491909695</c:v>
                </c:pt>
                <c:pt idx="35">
                  <c:v>9.3816007001195025</c:v>
                </c:pt>
                <c:pt idx="36">
                  <c:v>9.5621624401233181</c:v>
                </c:pt>
                <c:pt idx="37">
                  <c:v>9.7205415115438623</c:v>
                </c:pt>
                <c:pt idx="38">
                  <c:v>9.8569048057966935</c:v>
                </c:pt>
                <c:pt idx="39">
                  <c:v>9.9713883859872787</c:v>
                </c:pt>
                <c:pt idx="40">
                  <c:v>10.064101952120714</c:v>
                </c:pt>
                <c:pt idx="41">
                  <c:v>10.135132749771502</c:v>
                </c:pt>
                <c:pt idx="42">
                  <c:v>10.184549005599157</c:v>
                </c:pt>
                <c:pt idx="43">
                  <c:v>10.212402958949326</c:v>
                </c:pt>
                <c:pt idx="44">
                  <c:v>10.218733547278422</c:v>
                </c:pt>
                <c:pt idx="45">
                  <c:v>9.9456277027522795</c:v>
                </c:pt>
                <c:pt idx="46">
                  <c:v>9.6129935091831307</c:v>
                </c:pt>
                <c:pt idx="47">
                  <c:v>9.2362511939968037</c:v>
                </c:pt>
                <c:pt idx="48">
                  <c:v>8.8110127945256913</c:v>
                </c:pt>
                <c:pt idx="49">
                  <c:v>7.9959580858213339</c:v>
                </c:pt>
                <c:pt idx="50">
                  <c:v>6.0351125127161112</c:v>
                </c:pt>
                <c:pt idx="51">
                  <c:v>2.2247084507346218</c:v>
                </c:pt>
                <c:pt idx="52">
                  <c:v>-4.1707455612762558</c:v>
                </c:pt>
                <c:pt idx="53">
                  <c:v>-13.94923289678314</c:v>
                </c:pt>
                <c:pt idx="54">
                  <c:v>-27.985171822856337</c:v>
                </c:pt>
                <c:pt idx="55">
                  <c:v>-47.238667069500849</c:v>
                </c:pt>
                <c:pt idx="56">
                  <c:v>-72.76290567048845</c:v>
                </c:pt>
                <c:pt idx="57">
                  <c:v>-105.7106955523851</c:v>
                </c:pt>
                <c:pt idx="58">
                  <c:v>-147.34057731058837</c:v>
                </c:pt>
                <c:pt idx="59">
                  <c:v>-199.02272006729942</c:v>
                </c:pt>
                <c:pt idx="60">
                  <c:v>-262.24471442390319</c:v>
                </c:pt>
                <c:pt idx="61">
                  <c:v>-338.61732722404247</c:v>
                </c:pt>
                <c:pt idx="62">
                  <c:v>-429.88025712218365</c:v>
                </c:pt>
                <c:pt idx="63">
                  <c:v>-537.90791540785301</c:v>
                </c:pt>
                <c:pt idx="64">
                  <c:v>-664.7152479037187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D4-4AB2-9056-F0CDC0DA6581}"/>
            </c:ext>
          </c:extLst>
        </c:ser>
        <c:ser>
          <c:idx val="4"/>
          <c:order val="4"/>
          <c:tx>
            <c:v>H=4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'ENecesario(W1)'!$A$108:$A$173</c:f>
              <c:numCache>
                <c:formatCode>General</c:formatCode>
                <c:ptCount val="6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'ENecesario(W1)'!$U$108:$U$172</c:f>
              <c:numCache>
                <c:formatCode>General</c:formatCode>
                <c:ptCount val="65"/>
                <c:pt idx="0">
                  <c:v>-48.572634239449116</c:v>
                </c:pt>
                <c:pt idx="1">
                  <c:v>-38.027472243974742</c:v>
                </c:pt>
                <c:pt idx="2">
                  <c:v>-30.86177837301047</c:v>
                </c:pt>
                <c:pt idx="3">
                  <c:v>-25.631621797693761</c:v>
                </c:pt>
                <c:pt idx="4">
                  <c:v>-21.614877458294856</c:v>
                </c:pt>
                <c:pt idx="5">
                  <c:v>-18.410279879839365</c:v>
                </c:pt>
                <c:pt idx="6">
                  <c:v>-15.777029662967781</c:v>
                </c:pt>
                <c:pt idx="7">
                  <c:v>-13.561878791281597</c:v>
                </c:pt>
                <c:pt idx="8">
                  <c:v>-11.662668049017647</c:v>
                </c:pt>
                <c:pt idx="9">
                  <c:v>-10.008689925713732</c:v>
                </c:pt>
                <c:pt idx="10">
                  <c:v>-8.5494651082610691</c:v>
                </c:pt>
                <c:pt idx="11">
                  <c:v>-7.2480067415326586</c:v>
                </c:pt>
                <c:pt idx="12">
                  <c:v>-6.0766093956933851</c:v>
                </c:pt>
                <c:pt idx="13">
                  <c:v>-5.0141233804206786</c:v>
                </c:pt>
                <c:pt idx="14">
                  <c:v>-4.0441369265656331</c:v>
                </c:pt>
                <c:pt idx="15">
                  <c:v>-3.1537318679030233</c:v>
                </c:pt>
                <c:pt idx="16">
                  <c:v>-2.3326121778118103</c:v>
                </c:pt>
                <c:pt idx="17">
                  <c:v>-1.5724811350521404</c:v>
                </c:pt>
                <c:pt idx="18">
                  <c:v>-0.86658805399117622</c:v>
                </c:pt>
                <c:pt idx="19">
                  <c:v>-0.20939300691755397</c:v>
                </c:pt>
                <c:pt idx="20">
                  <c:v>0.40368484928237608</c:v>
                </c:pt>
                <c:pt idx="21">
                  <c:v>0.97645873029190489</c:v>
                </c:pt>
                <c:pt idx="22">
                  <c:v>1.5121216606256622</c:v>
                </c:pt>
                <c:pt idx="23">
                  <c:v>2.0133612882434826</c:v>
                </c:pt>
                <c:pt idx="24">
                  <c:v>2.48245022184667</c:v>
                </c:pt>
                <c:pt idx="25">
                  <c:v>2.9213177900355074</c:v>
                </c:pt>
                <c:pt idx="26">
                  <c:v>3.3316075496213413</c:v>
                </c:pt>
                <c:pt idx="27">
                  <c:v>3.7147237546412986</c:v>
                </c:pt>
                <c:pt idx="28">
                  <c:v>4.0718691955187527</c:v>
                </c:pt>
                <c:pt idx="29">
                  <c:v>4.4040762343359736</c:v>
                </c:pt>
                <c:pt idx="30">
                  <c:v>4.7122324330589089</c:v>
                </c:pt>
                <c:pt idx="31">
                  <c:v>4.9971018526946391</c:v>
                </c:pt>
                <c:pt idx="32">
                  <c:v>5.259342862154992</c:v>
                </c:pt>
                <c:pt idx="33">
                  <c:v>5.4995231145260428</c:v>
                </c:pt>
                <c:pt idx="34">
                  <c:v>5.7181322102143222</c:v>
                </c:pt>
                <c:pt idx="35">
                  <c:v>5.9155924600759713</c:v>
                </c:pt>
                <c:pt idx="36">
                  <c:v>6.0922680791743442</c:v>
                </c:pt>
                <c:pt idx="37">
                  <c:v>6.2484730774278203</c:v>
                </c:pt>
                <c:pt idx="38">
                  <c:v>6.3844780628030646</c:v>
                </c:pt>
                <c:pt idx="39">
                  <c:v>6.5005161326762826</c:v>
                </c:pt>
                <c:pt idx="40">
                  <c:v>6.5967879971280112</c:v>
                </c:pt>
                <c:pt idx="41">
                  <c:v>6.6734664524369398</c:v>
                </c:pt>
                <c:pt idx="42">
                  <c:v>6.7307003025181862</c:v>
                </c:pt>
                <c:pt idx="43">
                  <c:v>6.7686178094500322</c:v>
                </c:pt>
                <c:pt idx="44">
                  <c:v>6.7873297407363378</c:v>
                </c:pt>
                <c:pt idx="45">
                  <c:v>6.7869320699275013</c:v>
                </c:pt>
                <c:pt idx="46">
                  <c:v>6.767508378174206</c:v>
                </c:pt>
                <c:pt idx="47">
                  <c:v>6.726880635068861</c:v>
                </c:pt>
                <c:pt idx="48">
                  <c:v>6.3864009280019829</c:v>
                </c:pt>
                <c:pt idx="49">
                  <c:v>5.1076140199861761</c:v>
                </c:pt>
                <c:pt idx="50">
                  <c:v>2.2934532396922562</c:v>
                </c:pt>
                <c:pt idx="51">
                  <c:v>-2.6813861840294346</c:v>
                </c:pt>
                <c:pt idx="52">
                  <c:v>-10.656473861426212</c:v>
                </c:pt>
                <c:pt idx="53">
                  <c:v>-22.394989318312323</c:v>
                </c:pt>
                <c:pt idx="54">
                  <c:v>-38.567403590284783</c:v>
                </c:pt>
                <c:pt idx="55">
                  <c:v>-60.077613218368796</c:v>
                </c:pt>
                <c:pt idx="56">
                  <c:v>-87.916444536418808</c:v>
                </c:pt>
                <c:pt idx="57">
                  <c:v>-123.16701573740833</c:v>
                </c:pt>
                <c:pt idx="58">
                  <c:v>-167.00992246813342</c:v>
                </c:pt>
                <c:pt idx="59">
                  <c:v>-220.72834219146782</c:v>
                </c:pt>
                <c:pt idx="60">
                  <c:v>-285.71311172783402</c:v>
                </c:pt>
                <c:pt idx="61">
                  <c:v>-363.46781068540508</c:v>
                </c:pt>
                <c:pt idx="62">
                  <c:v>-455.61387123772397</c:v>
                </c:pt>
                <c:pt idx="63">
                  <c:v>-563.89572744821419</c:v>
                </c:pt>
                <c:pt idx="64">
                  <c:v>-690.18601286413445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D4-4AB2-9056-F0CDC0DA6581}"/>
            </c:ext>
          </c:extLst>
        </c:ser>
        <c:ser>
          <c:idx val="5"/>
          <c:order val="5"/>
          <c:tx>
            <c:v>H=5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'ENecesario(W1)'!$Y$108:$Y$172</c:f>
              <c:numCache>
                <c:formatCode>General</c:formatCode>
                <c:ptCount val="65"/>
                <c:pt idx="0">
                  <c:v>-58.281715846069773</c:v>
                </c:pt>
                <c:pt idx="1">
                  <c:v>-45.953180063676804</c:v>
                </c:pt>
                <c:pt idx="2">
                  <c:v>-37.624638786137837</c:v>
                </c:pt>
                <c:pt idx="3">
                  <c:v>-31.585438964964393</c:v>
                </c:pt>
                <c:pt idx="4">
                  <c:v>-26.980126878627861</c:v>
                </c:pt>
                <c:pt idx="5">
                  <c:v>-23.333384232144233</c:v>
                </c:pt>
                <c:pt idx="6">
                  <c:v>-20.359990253681438</c:v>
                </c:pt>
                <c:pt idx="7">
                  <c:v>-17.878433802183299</c:v>
                </c:pt>
                <c:pt idx="8">
                  <c:v>-15.7677151142595</c:v>
                </c:pt>
                <c:pt idx="9">
                  <c:v>-13.944082408627471</c:v>
                </c:pt>
                <c:pt idx="10">
                  <c:v>-12.347736611776213</c:v>
                </c:pt>
                <c:pt idx="11">
                  <c:v>-10.934852843435136</c:v>
                </c:pt>
                <c:pt idx="12">
                  <c:v>-9.6725928560970811</c:v>
                </c:pt>
                <c:pt idx="13">
                  <c:v>-8.535877044446659</c:v>
                </c:pt>
                <c:pt idx="14">
                  <c:v>-7.5052318753152898</c:v>
                </c:pt>
                <c:pt idx="15">
                  <c:v>-6.5653166212058487</c:v>
                </c:pt>
                <c:pt idx="16">
                  <c:v>-5.7038917068948365</c:v>
                </c:pt>
                <c:pt idx="17">
                  <c:v>-4.9110815134770478</c:v>
                </c:pt>
                <c:pt idx="18">
                  <c:v>-4.1788379856260152</c:v>
                </c:pt>
                <c:pt idx="19">
                  <c:v>-3.5005439562731242</c:v>
                </c:pt>
                <c:pt idx="20">
                  <c:v>-2.8707154597804796</c:v>
                </c:pt>
                <c:pt idx="21">
                  <c:v>-2.2847753341944221</c:v>
                </c:pt>
                <c:pt idx="22">
                  <c:v>-1.7388789332512404</c:v>
                </c:pt>
                <c:pt idx="23">
                  <c:v>-1.2297784494299457</c:v>
                </c:pt>
                <c:pt idx="24">
                  <c:v>-0.75471620447013599</c:v>
                </c:pt>
                <c:pt idx="25">
                  <c:v>-0.31133992278554184</c:v>
                </c:pt>
                <c:pt idx="26">
                  <c:v>0.10236513525626417</c:v>
                </c:pt>
                <c:pt idx="27">
                  <c:v>0.48813098194996307</c:v>
                </c:pt>
                <c:pt idx="28">
                  <c:v>0.84745150472964581</c:v>
                </c:pt>
                <c:pt idx="29">
                  <c:v>1.1816190236066166</c:v>
                </c:pt>
                <c:pt idx="30">
                  <c:v>1.4917544565951055</c:v>
                </c:pt>
                <c:pt idx="31">
                  <c:v>1.7788323686626628</c:v>
                </c:pt>
                <c:pt idx="32">
                  <c:v>2.0437018965717177</c:v>
                </c:pt>
                <c:pt idx="33">
                  <c:v>2.2871043276449359</c:v>
                </c:pt>
                <c:pt idx="34">
                  <c:v>2.5096879468820315</c:v>
                </c:pt>
                <c:pt idx="35">
                  <c:v>2.7120206409771628</c:v>
                </c:pt>
                <c:pt idx="36">
                  <c:v>2.8946006502063191</c:v>
                </c:pt>
                <c:pt idx="37">
                  <c:v>3.0578657829743778</c:v>
                </c:pt>
                <c:pt idx="38">
                  <c:v>3.2022013479394458</c:v>
                </c:pt>
                <c:pt idx="39">
                  <c:v>3.3279470112771508</c:v>
                </c:pt>
                <c:pt idx="40">
                  <c:v>3.4354027489660637</c:v>
                </c:pt>
                <c:pt idx="41">
                  <c:v>3.5248340338203841</c:v>
                </c:pt>
                <c:pt idx="42">
                  <c:v>3.596476372730999</c:v>
                </c:pt>
                <c:pt idx="43">
                  <c:v>3.6505392899497178</c:v>
                </c:pt>
                <c:pt idx="44">
                  <c:v>3.6872098362978183</c:v>
                </c:pt>
                <c:pt idx="45">
                  <c:v>3.7066556911501309</c:v>
                </c:pt>
                <c:pt idx="46">
                  <c:v>3.7070346671137275</c:v>
                </c:pt>
                <c:pt idx="47">
                  <c:v>3.4528545227854108</c:v>
                </c:pt>
                <c:pt idx="48">
                  <c:v>2.4072849388690489</c:v>
                </c:pt>
                <c:pt idx="49">
                  <c:v>6.6111544626853425E-2</c:v>
                </c:pt>
                <c:pt idx="50">
                  <c:v>-4.1007013959565564</c:v>
                </c:pt>
                <c:pt idx="51">
                  <c:v>-10.671164302248011</c:v>
                </c:pt>
                <c:pt idx="52">
                  <c:v>-20.281415167299386</c:v>
                </c:pt>
                <c:pt idx="53">
                  <c:v>-33.632567679275923</c:v>
                </c:pt>
                <c:pt idx="54">
                  <c:v>-51.496265107096647</c:v>
                </c:pt>
                <c:pt idx="55">
                  <c:v>-74.719643926766466</c:v>
                </c:pt>
                <c:pt idx="56">
                  <c:v>-104.23000937186266</c:v>
                </c:pt>
                <c:pt idx="57">
                  <c:v>-141.03937040806088</c:v>
                </c:pt>
                <c:pt idx="58">
                  <c:v>-186.24891288853738</c:v>
                </c:pt>
                <c:pt idx="59">
                  <c:v>-241.39300682271841</c:v>
                </c:pt>
                <c:pt idx="60">
                  <c:v>-307.46798550667035</c:v>
                </c:pt>
                <c:pt idx="61">
                  <c:v>-385.85418824360761</c:v>
                </c:pt>
                <c:pt idx="62">
                  <c:v>-478.05569937529674</c:v>
                </c:pt>
                <c:pt idx="63">
                  <c:v>-585.68837216170675</c:v>
                </c:pt>
                <c:pt idx="64">
                  <c:v>-710.48445718141875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D4-4AB2-9056-F0CDC0DA6581}"/>
            </c:ext>
          </c:extLst>
        </c:ser>
        <c:ser>
          <c:idx val="6"/>
          <c:order val="6"/>
          <c:tx>
            <c:v>H=6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'ENecesario(W1)'!$AC$108:$AC$172</c:f>
              <c:numCache>
                <c:formatCode>General</c:formatCode>
                <c:ptCount val="65"/>
                <c:pt idx="0">
                  <c:v>-70.160611977355927</c:v>
                </c:pt>
                <c:pt idx="1">
                  <c:v>-55.589294468066342</c:v>
                </c:pt>
                <c:pt idx="2">
                  <c:v>-45.787409533194989</c:v>
                </c:pt>
                <c:pt idx="3">
                  <c:v>-38.713877665331481</c:v>
                </c:pt>
                <c:pt idx="4">
                  <c:v>-33.34805891353966</c:v>
                </c:pt>
                <c:pt idx="5">
                  <c:v>-29.122880178857436</c:v>
                </c:pt>
                <c:pt idx="6">
                  <c:v>-25.698076080900005</c:v>
                </c:pt>
                <c:pt idx="7">
                  <c:v>-22.857110896301418</c:v>
                </c:pt>
                <c:pt idx="8">
                  <c:v>-20.455636013111782</c:v>
                </c:pt>
                <c:pt idx="9">
                  <c:v>-18.393733966218321</c:v>
                </c:pt>
                <c:pt idx="10">
                  <c:v>-16.600056326860258</c:v>
                </c:pt>
                <c:pt idx="11">
                  <c:v>-15.02230532990751</c:v>
                </c:pt>
                <c:pt idx="12">
                  <c:v>-13.621284079037835</c:v>
                </c:pt>
                <c:pt idx="13">
                  <c:v>-12.367046066333726</c:v>
                </c:pt>
                <c:pt idx="14">
                  <c:v>-11.236327710501421</c:v>
                </c:pt>
                <c:pt idx="15">
                  <c:v>-10.210791296599298</c:v>
                </c:pt>
                <c:pt idx="16">
                  <c:v>-9.2757947304606283</c:v>
                </c:pt>
                <c:pt idx="17">
                  <c:v>-8.4195125427419661</c:v>
                </c:pt>
                <c:pt idx="18">
                  <c:v>-7.6322964114394232</c:v>
                </c:pt>
                <c:pt idx="19">
                  <c:v>-6.9062023290559926</c:v>
                </c:pt>
                <c:pt idx="20">
                  <c:v>-6.2346358277470477</c:v>
                </c:pt>
                <c:pt idx="21">
                  <c:v>-5.6120822204507723</c:v>
                </c:pt>
                <c:pt idx="22">
                  <c:v>-5.0338989804811671</c:v>
                </c:pt>
                <c:pt idx="23">
                  <c:v>-4.4961541588380767</c:v>
                </c:pt>
                <c:pt idx="24">
                  <c:v>-3.9954993373533512</c:v>
                </c:pt>
                <c:pt idx="25">
                  <c:v>-3.5290687876743831</c:v>
                </c:pt>
                <c:pt idx="26">
                  <c:v>-3.0943987265913266</c:v>
                </c:pt>
                <c:pt idx="27">
                  <c:v>-2.6893621342010663</c:v>
                </c:pt>
                <c:pt idx="28">
                  <c:v>-2.3121157342509409</c:v>
                </c:pt>
                <c:pt idx="29">
                  <c:v>-1.9610565599828651</c:v>
                </c:pt>
                <c:pt idx="30">
                  <c:v>-1.6347861347315464</c:v>
                </c:pt>
                <c:pt idx="31">
                  <c:v>-1.3320807467063263</c:v>
                </c:pt>
                <c:pt idx="32">
                  <c:v>-1.051866635061137</c:v>
                </c:pt>
                <c:pt idx="33">
                  <c:v>-0.79319915992987267</c:v>
                </c:pt>
                <c:pt idx="34">
                  <c:v>-0.55524522417553923</c:v>
                </c:pt>
                <c:pt idx="35">
                  <c:v>-0.33726836467992743</c:v>
                </c:pt>
                <c:pt idx="36">
                  <c:v>-0.13861604733085914</c:v>
                </c:pt>
                <c:pt idx="37">
                  <c:v>4.1291209324971302E-2</c:v>
                </c:pt>
                <c:pt idx="38">
                  <c:v>0.20296918542993184</c:v>
                </c:pt>
                <c:pt idx="39">
                  <c:v>0.34687803339036094</c:v>
                </c:pt>
                <c:pt idx="40">
                  <c:v>0.47342927599804735</c:v>
                </c:pt>
                <c:pt idx="41">
                  <c:v>0.58299189548451691</c:v>
                </c:pt>
                <c:pt idx="42">
                  <c:v>0.67589765098291732</c:v>
                </c:pt>
                <c:pt idx="43">
                  <c:v>0.75244573849045426</c:v>
                </c:pt>
                <c:pt idx="44">
                  <c:v>0.81290688842060521</c:v>
                </c:pt>
                <c:pt idx="45">
                  <c:v>0.85525942149269241</c:v>
                </c:pt>
                <c:pt idx="46">
                  <c:v>0.67399047879858154</c:v>
                </c:pt>
                <c:pt idx="47">
                  <c:v>-0.17934819954920894</c:v>
                </c:pt>
                <c:pt idx="48">
                  <c:v>-2.1277096298178959</c:v>
                </c:pt>
                <c:pt idx="49">
                  <c:v>-5.6180924921958315</c:v>
                </c:pt>
                <c:pt idx="50">
                  <c:v>-11.139525207976545</c:v>
                </c:pt>
                <c:pt idx="51">
                  <c:v>-19.231516999951321</c:v>
                </c:pt>
                <c:pt idx="52">
                  <c:v>-30.489853849329069</c:v>
                </c:pt>
                <c:pt idx="53">
                  <c:v>-45.571353768108267</c:v>
                </c:pt>
                <c:pt idx="54">
                  <c:v>-65.198149574107703</c:v>
                </c:pt>
                <c:pt idx="55">
                  <c:v>-90.161743667482483</c:v>
                </c:pt>
                <c:pt idx="56">
                  <c:v>-121.32695429166893</c:v>
                </c:pt>
                <c:pt idx="57">
                  <c:v>-159.63581709783807</c:v>
                </c:pt>
                <c:pt idx="58">
                  <c:v>-206.11147841304472</c:v>
                </c:pt>
                <c:pt idx="59">
                  <c:v>-261.86210203774124</c:v>
                </c:pt>
                <c:pt idx="60">
                  <c:v>-328.08480317450983</c:v>
                </c:pt>
                <c:pt idx="61">
                  <c:v>-406.06961822051909</c:v>
                </c:pt>
                <c:pt idx="62">
                  <c:v>-497.2035161562776</c:v>
                </c:pt>
                <c:pt idx="63">
                  <c:v>-602.9744553527521</c:v>
                </c:pt>
                <c:pt idx="64">
                  <c:v>-724.98636665999368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D4-4AB2-9056-F0CDC0DA6581}"/>
            </c:ext>
          </c:extLst>
        </c:ser>
        <c:ser>
          <c:idx val="7"/>
          <c:order val="7"/>
          <c:tx>
            <c:v>H=7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'ENecesario(W1)'!$AG$108:$AG$172</c:f>
              <c:numCache>
                <c:formatCode>General</c:formatCode>
                <c:ptCount val="65"/>
                <c:pt idx="0">
                  <c:v>-84.879574852156537</c:v>
                </c:pt>
                <c:pt idx="1">
                  <c:v>-67.475275211973255</c:v>
                </c:pt>
                <c:pt idx="2">
                  <c:v>-55.802902041622865</c:v>
                </c:pt>
                <c:pt idx="3">
                  <c:v>-47.408313043087837</c:v>
                </c:pt>
                <c:pt idx="4">
                  <c:v>-41.064359132859593</c:v>
                </c:pt>
                <c:pt idx="5">
                  <c:v>-36.089252362439133</c:v>
                </c:pt>
                <c:pt idx="6">
                  <c:v>-32.07390497254238</c:v>
                </c:pt>
                <c:pt idx="7">
                  <c:v>-28.757987970552705</c:v>
                </c:pt>
                <c:pt idx="8">
                  <c:v>-25.967957575307807</c:v>
                </c:pt>
                <c:pt idx="9">
                  <c:v>-23.583682988769787</c:v>
                </c:pt>
                <c:pt idx="10">
                  <c:v>-21.519375285808298</c:v>
                </c:pt>
                <c:pt idx="11">
                  <c:v>-19.712143848613461</c:v>
                </c:pt>
                <c:pt idx="12">
                  <c:v>-18.114843477012784</c:v>
                </c:pt>
                <c:pt idx="13">
                  <c:v>-16.691445547783392</c:v>
                </c:pt>
                <c:pt idx="14">
                  <c:v>-15.413951732663175</c:v>
                </c:pt>
                <c:pt idx="15">
                  <c:v>-14.260282023816528</c:v>
                </c:pt>
                <c:pt idx="16">
                  <c:v>-13.212796102649586</c:v>
                </c:pt>
                <c:pt idx="17">
                  <c:v>-12.25723696980964</c:v>
                </c:pt>
                <c:pt idx="18">
                  <c:v>-11.381962504944967</c:v>
                </c:pt>
                <c:pt idx="19">
                  <c:v>-10.577377344190554</c:v>
                </c:pt>
                <c:pt idx="20">
                  <c:v>-9.8355066640177036</c:v>
                </c:pt>
                <c:pt idx="21">
                  <c:v>-9.1496721492484365</c:v>
                </c:pt>
                <c:pt idx="22">
                  <c:v>-8.5142426433919667</c:v>
                </c:pt>
                <c:pt idx="23">
                  <c:v>-7.9244401267385438</c:v>
                </c:pt>
                <c:pt idx="24">
                  <c:v>-7.3761871964293455</c:v>
                </c:pt>
                <c:pt idx="25">
                  <c:v>-6.8659860358785032</c:v>
                </c:pt>
                <c:pt idx="26">
                  <c:v>-6.3908215302854661</c:v>
                </c:pt>
                <c:pt idx="27">
                  <c:v>-5.9480830794791926</c:v>
                </c:pt>
                <c:pt idx="28">
                  <c:v>-5.5355010210987849</c:v>
                </c:pt>
                <c:pt idx="29">
                  <c:v>-5.1510945675584656</c:v>
                </c:pt>
                <c:pt idx="30">
                  <c:v>-4.7931288885673817</c:v>
                </c:pt>
                <c:pt idx="31">
                  <c:v>-4.4600795120576695</c:v>
                </c:pt>
                <c:pt idx="32">
                  <c:v>-4.1506026222221379</c:v>
                </c:pt>
                <c:pt idx="33">
                  <c:v>-3.8635101405194843</c:v>
                </c:pt>
                <c:pt idx="34">
                  <c:v>-3.5977487099376755</c:v>
                </c:pt>
                <c:pt idx="35">
                  <c:v>-3.3523818831580736</c:v>
                </c:pt>
                <c:pt idx="36">
                  <c:v>-3.12657495505217</c:v>
                </c:pt>
                <c:pt idx="37">
                  <c:v>-2.9195819890603012</c:v>
                </c:pt>
                <c:pt idx="38">
                  <c:v>-2.730734672748147</c:v>
                </c:pt>
                <c:pt idx="39">
                  <c:v>-2.5594327056468567</c:v>
                </c:pt>
                <c:pt idx="40">
                  <c:v>-2.4051354764305644</c:v>
                </c:pt>
                <c:pt idx="41">
                  <c:v>-2.2673548296511696</c:v>
                </c:pt>
                <c:pt idx="42">
                  <c:v>-2.1456487569773315</c:v>
                </c:pt>
                <c:pt idx="43">
                  <c:v>-2.0396158759676397</c:v>
                </c:pt>
                <c:pt idx="44">
                  <c:v>-1.9519951562656732</c:v>
                </c:pt>
                <c:pt idx="45">
                  <c:v>-2.067393880483146</c:v>
                </c:pt>
                <c:pt idx="46">
                  <c:v>-2.7574894804655186</c:v>
                </c:pt>
                <c:pt idx="47">
                  <c:v>-4.3746588872474623</c:v>
                </c:pt>
                <c:pt idx="48">
                  <c:v>-7.2938611186029956</c:v>
                </c:pt>
                <c:pt idx="49">
                  <c:v>-11.926811347173954</c:v>
                </c:pt>
                <c:pt idx="50">
                  <c:v>-18.728899283165415</c:v>
                </c:pt>
                <c:pt idx="51">
                  <c:v>-28.204040967999351</c:v>
                </c:pt>
                <c:pt idx="52">
                  <c:v>-40.908716849927877</c:v>
                </c:pt>
                <c:pt idx="53">
                  <c:v>-57.455641776097899</c:v>
                </c:pt>
                <c:pt idx="54">
                  <c:v>-78.517259755518054</c:v>
                </c:pt>
                <c:pt idx="55">
                  <c:v>-104.82915804849802</c:v>
                </c:pt>
                <c:pt idx="56">
                  <c:v>-137.19345117873314</c:v>
                </c:pt>
                <c:pt idx="57">
                  <c:v>-176.48216374690008</c:v>
                </c:pt>
                <c:pt idx="58">
                  <c:v>-223.64062935742908</c:v>
                </c:pt>
                <c:pt idx="59">
                  <c:v>-279.69091643425037</c:v>
                </c:pt>
                <c:pt idx="60">
                  <c:v>-345.73528782799451</c:v>
                </c:pt>
                <c:pt idx="61">
                  <c:v>-422.95969872969579</c:v>
                </c:pt>
                <c:pt idx="62">
                  <c:v>-512.63733588543869</c:v>
                </c:pt>
                <c:pt idx="63">
                  <c:v>-616.13220011051624</c:v>
                </c:pt>
                <c:pt idx="64">
                  <c:v>-734.90273343397882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D4-4AB2-9056-F0CDC0DA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38656"/>
        <c:axId val="2042332128"/>
      </c:scatterChart>
      <c:valAx>
        <c:axId val="204233865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V(m/s)</a:t>
                </a:r>
              </a:p>
            </c:rich>
          </c:tx>
          <c:layout>
            <c:manualLayout>
              <c:xMode val="edge"/>
              <c:yMode val="edge"/>
              <c:x val="0.47548779206775493"/>
              <c:y val="0.9498432943033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2128"/>
        <c:crosses val="autoZero"/>
        <c:crossBetween val="midCat"/>
      </c:valAx>
      <c:valAx>
        <c:axId val="2042332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Vs(m/s)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gamma,h=0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'ENecesario(W1)'!$F$108:$F$172</c:f>
              <c:numCache>
                <c:formatCode>General</c:formatCode>
                <c:ptCount val="65"/>
                <c:pt idx="0">
                  <c:v>-49.050245972946001</c:v>
                </c:pt>
                <c:pt idx="1">
                  <c:v>-33.664114398108495</c:v>
                </c:pt>
                <c:pt idx="2">
                  <c:v>-21.957613700727549</c:v>
                </c:pt>
                <c:pt idx="3">
                  <c:v>-13.809945722569593</c:v>
                </c:pt>
                <c:pt idx="4">
                  <c:v>-8.2302348845155944</c:v>
                </c:pt>
                <c:pt idx="5">
                  <c:v>-4.3533339769230848</c:v>
                </c:pt>
                <c:pt idx="6">
                  <c:v>-1.5966541032853854</c:v>
                </c:pt>
                <c:pt idx="7">
                  <c:v>0.40915063122572598</c:v>
                </c:pt>
                <c:pt idx="8">
                  <c:v>1.898180715944862</c:v>
                </c:pt>
                <c:pt idx="9">
                  <c:v>3.0217568673283455</c:v>
                </c:pt>
                <c:pt idx="10">
                  <c:v>3.8802036432434712</c:v>
                </c:pt>
                <c:pt idx="11">
                  <c:v>4.5417743716689927</c:v>
                </c:pt>
                <c:pt idx="12">
                  <c:v>5.0540465631618225</c:v>
                </c:pt>
                <c:pt idx="13">
                  <c:v>5.4509301707282729</c:v>
                </c:pt>
                <c:pt idx="14">
                  <c:v>5.7570827386928176</c:v>
                </c:pt>
                <c:pt idx="15">
                  <c:v>5.9907588406416101</c:v>
                </c:pt>
                <c:pt idx="16">
                  <c:v>6.165691837704955</c:v>
                </c:pt>
                <c:pt idx="17">
                  <c:v>6.2923635198721293</c:v>
                </c:pt>
                <c:pt idx="18">
                  <c:v>6.3788778560624104</c:v>
                </c:pt>
                <c:pt idx="19">
                  <c:v>6.4315733139886717</c:v>
                </c:pt>
                <c:pt idx="20">
                  <c:v>6.4554591723941446</c:v>
                </c:pt>
                <c:pt idx="21">
                  <c:v>6.4545311986366034</c:v>
                </c:pt>
                <c:pt idx="22">
                  <c:v>6.4320032676077368</c:v>
                </c:pt>
                <c:pt idx="23">
                  <c:v>6.3904795085654404</c:v>
                </c:pt>
                <c:pt idx="24">
                  <c:v>6.3320837780692996</c:v>
                </c:pt>
                <c:pt idx="25">
                  <c:v>6.2585581105992709</c:v>
                </c:pt>
                <c:pt idx="26">
                  <c:v>6.1713383428291619</c:v>
                </c:pt>
                <c:pt idx="27">
                  <c:v>6.0716127525120731</c:v>
                </c:pt>
                <c:pt idx="28">
                  <c:v>5.9603679255243271</c:v>
                </c:pt>
                <c:pt idx="29">
                  <c:v>5.8384249253120997</c:v>
                </c:pt>
                <c:pt idx="30">
                  <c:v>5.7064680316516982</c:v>
                </c:pt>
                <c:pt idx="31">
                  <c:v>5.565067736998949</c:v>
                </c:pt>
                <c:pt idx="32">
                  <c:v>5.4146992695357552</c:v>
                </c:pt>
                <c:pt idx="33">
                  <c:v>5.2557576053185189</c:v>
                </c:pt>
                <c:pt idx="34">
                  <c:v>5.0885697053960719</c:v>
                </c:pt>
                <c:pt idx="35">
                  <c:v>4.9134045449499091</c:v>
                </c:pt>
                <c:pt idx="36">
                  <c:v>4.7304813746530785</c:v>
                </c:pt>
                <c:pt idx="37">
                  <c:v>4.5399765583621896</c:v>
                </c:pt>
                <c:pt idx="38">
                  <c:v>4.3420292579394726</c:v>
                </c:pt>
                <c:pt idx="39">
                  <c:v>4.1367461796595322</c:v>
                </c:pt>
                <c:pt idx="40">
                  <c:v>3.9242055530686799</c:v>
                </c:pt>
                <c:pt idx="41">
                  <c:v>3.7044604792322677</c:v>
                </c:pt>
                <c:pt idx="42">
                  <c:v>3.4775417587312258</c:v>
                </c:pt>
                <c:pt idx="43">
                  <c:v>3.2434602888397253</c:v>
                </c:pt>
                <c:pt idx="44">
                  <c:v>3.0022091027450153</c:v>
                </c:pt>
                <c:pt idx="45">
                  <c:v>2.7537651104842999</c:v>
                </c:pt>
                <c:pt idx="46">
                  <c:v>2.4980905907322173</c:v>
                </c:pt>
                <c:pt idx="47">
                  <c:v>2.2351344741081043</c:v>
                </c:pt>
                <c:pt idx="48">
                  <c:v>1.9648334518488921</c:v>
                </c:pt>
                <c:pt idx="49">
                  <c:v>1.6871129381722207</c:v>
                </c:pt>
                <c:pt idx="50">
                  <c:v>1.4018879101724679</c:v>
                </c:pt>
                <c:pt idx="51">
                  <c:v>1.1043732159339135</c:v>
                </c:pt>
                <c:pt idx="52">
                  <c:v>0.65052897060191661</c:v>
                </c:pt>
                <c:pt idx="53">
                  <c:v>-0.19239426144042954</c:v>
                </c:pt>
                <c:pt idx="54">
                  <c:v>-1.622765698775581</c:v>
                </c:pt>
                <c:pt idx="55">
                  <c:v>-3.8314981089889075</c:v>
                </c:pt>
                <c:pt idx="56">
                  <c:v>-6.9995395749452589</c:v>
                </c:pt>
                <c:pt idx="57">
                  <c:v>-11.275632725228004</c:v>
                </c:pt>
                <c:pt idx="58">
                  <c:v>-16.729910787262092</c:v>
                </c:pt>
                <c:pt idx="59">
                  <c:v>-23.28687559458152</c:v>
                </c:pt>
                <c:pt idx="60">
                  <c:v>-30.66908044589945</c:v>
                </c:pt>
                <c:pt idx="61">
                  <c:v>-38.411045321749064</c:v>
                </c:pt>
                <c:pt idx="62">
                  <c:v>-45.976647584886997</c:v>
                </c:pt>
                <c:pt idx="63">
                  <c:v>-52.921439667538351</c:v>
                </c:pt>
                <c:pt idx="64">
                  <c:v>-58.992400813453102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9-442D-97B4-9C7E54573C64}"/>
            </c:ext>
          </c:extLst>
        </c:ser>
        <c:ser>
          <c:idx val="1"/>
          <c:order val="1"/>
          <c:tx>
            <c:v>gamma,h1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'ENecesario(W1)'!$J$108:$J$172</c:f>
              <c:numCache>
                <c:formatCode>General</c:formatCode>
                <c:ptCount val="65"/>
                <c:pt idx="0">
                  <c:v>-54.487843428843675</c:v>
                </c:pt>
                <c:pt idx="1">
                  <c:v>-39.929347025284038</c:v>
                </c:pt>
                <c:pt idx="2">
                  <c:v>-27.991129706730483</c:v>
                </c:pt>
                <c:pt idx="3">
                  <c:v>-19.196121555171853</c:v>
                </c:pt>
                <c:pt idx="4">
                  <c:v>-12.945671442990585</c:v>
                </c:pt>
                <c:pt idx="5">
                  <c:v>-8.4958744322620596</c:v>
                </c:pt>
                <c:pt idx="6">
                  <c:v>-5.2753371981520534</c:v>
                </c:pt>
                <c:pt idx="7">
                  <c:v>-2.8966385066562612</c:v>
                </c:pt>
                <c:pt idx="8">
                  <c:v>-1.1046702804886845</c:v>
                </c:pt>
                <c:pt idx="9">
                  <c:v>0.26933397284404914</c:v>
                </c:pt>
                <c:pt idx="10">
                  <c:v>1.3389401884595076</c:v>
                </c:pt>
                <c:pt idx="11">
                  <c:v>2.1821864391471695</c:v>
                </c:pt>
                <c:pt idx="12">
                  <c:v>2.8538559523093467</c:v>
                </c:pt>
                <c:pt idx="13">
                  <c:v>3.3931992895355845</c:v>
                </c:pt>
                <c:pt idx="14">
                  <c:v>3.8288749469511845</c:v>
                </c:pt>
                <c:pt idx="15">
                  <c:v>4.1821726900430525</c:v>
                </c:pt>
                <c:pt idx="16">
                  <c:v>4.4691590329356012</c:v>
                </c:pt>
                <c:pt idx="17">
                  <c:v>4.7021333029737473</c:v>
                </c:pt>
                <c:pt idx="18">
                  <c:v>4.8906341526374018</c:v>
                </c:pt>
                <c:pt idx="19">
                  <c:v>5.042147361281577</c:v>
                </c:pt>
                <c:pt idx="20">
                  <c:v>5.1626115683896874</c:v>
                </c:pt>
                <c:pt idx="21">
                  <c:v>5.2567849910006554</c:v>
                </c:pt>
                <c:pt idx="22">
                  <c:v>5.3285149854606235</c:v>
                </c:pt>
                <c:pt idx="23">
                  <c:v>5.3809387054507054</c:v>
                </c:pt>
                <c:pt idx="24">
                  <c:v>5.4044231597402295</c:v>
                </c:pt>
                <c:pt idx="25">
                  <c:v>5.375774985920442</c:v>
                </c:pt>
                <c:pt idx="26">
                  <c:v>5.3324341340183805</c:v>
                </c:pt>
                <c:pt idx="27">
                  <c:v>5.2758273139389038</c:v>
                </c:pt>
                <c:pt idx="28">
                  <c:v>5.2071454027608448</c:v>
                </c:pt>
                <c:pt idx="29">
                  <c:v>5.1273857761698665</c:v>
                </c:pt>
                <c:pt idx="30">
                  <c:v>5.0373859610409966</c:v>
                </c:pt>
                <c:pt idx="31">
                  <c:v>4.937850577485082</c:v>
                </c:pt>
                <c:pt idx="32">
                  <c:v>4.8293730508057227</c:v>
                </c:pt>
                <c:pt idx="33">
                  <c:v>4.7124532165723529</c:v>
                </c:pt>
                <c:pt idx="34">
                  <c:v>4.5875116779754226</c:v>
                </c:pt>
                <c:pt idx="35">
                  <c:v>4.4549015777526657</c:v>
                </c:pt>
                <c:pt idx="36">
                  <c:v>4.314918298953037</c:v>
                </c:pt>
                <c:pt idx="37">
                  <c:v>4.1678074966369181</c:v>
                </c:pt>
                <c:pt idx="38">
                  <c:v>4.0137717769790884</c:v>
                </c:pt>
                <c:pt idx="39">
                  <c:v>3.852976274405413</c:v>
                </c:pt>
                <c:pt idx="40">
                  <c:v>3.6855533264399729</c:v>
                </c:pt>
                <c:pt idx="41">
                  <c:v>3.5116064062527608</c:v>
                </c:pt>
                <c:pt idx="42">
                  <c:v>3.3312134418009345</c:v>
                </c:pt>
                <c:pt idx="43">
                  <c:v>3.1444296259519309</c:v>
                </c:pt>
                <c:pt idx="44">
                  <c:v>2.9512898025613836</c:v>
                </c:pt>
                <c:pt idx="45">
                  <c:v>2.7518104980182803</c:v>
                </c:pt>
                <c:pt idx="46">
                  <c:v>2.5459916553984407</c:v>
                </c:pt>
                <c:pt idx="47">
                  <c:v>2.3338181184231348</c:v>
                </c:pt>
                <c:pt idx="48">
                  <c:v>2.1152609043925028</c:v>
                </c:pt>
                <c:pt idx="49">
                  <c:v>1.8902782987582196</c:v>
                </c:pt>
                <c:pt idx="50">
                  <c:v>1.6564501552547832</c:v>
                </c:pt>
                <c:pt idx="51">
                  <c:v>1.3003402234380981</c:v>
                </c:pt>
                <c:pt idx="52">
                  <c:v>0.61647777931660541</c:v>
                </c:pt>
                <c:pt idx="53">
                  <c:v>-0.57050709979827274</c:v>
                </c:pt>
                <c:pt idx="54">
                  <c:v>-2.430723059326545</c:v>
                </c:pt>
                <c:pt idx="55">
                  <c:v>-5.1305587935063279</c:v>
                </c:pt>
                <c:pt idx="56">
                  <c:v>-8.8197169977523391</c:v>
                </c:pt>
                <c:pt idx="57">
                  <c:v>-13.600104671833741</c:v>
                </c:pt>
                <c:pt idx="58">
                  <c:v>-19.474183010680694</c:v>
                </c:pt>
                <c:pt idx="59">
                  <c:v>-26.285952279381362</c:v>
                </c:pt>
                <c:pt idx="60">
                  <c:v>-33.694536803501769</c:v>
                </c:pt>
                <c:pt idx="61">
                  <c:v>-41.227641529673583</c:v>
                </c:pt>
                <c:pt idx="62">
                  <c:v>-48.411239703514951</c:v>
                </c:pt>
                <c:pt idx="63">
                  <c:v>-54.898557412461997</c:v>
                </c:pt>
                <c:pt idx="64">
                  <c:v>-60.521953007117204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C9-442D-97B4-9C7E54573C64}"/>
            </c:ext>
          </c:extLst>
        </c:ser>
        <c:ser>
          <c:idx val="2"/>
          <c:order val="2"/>
          <c:tx>
            <c:v>gamma,h2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'ENecesario(W1)'!$N$108:$N$172</c:f>
              <c:numCache>
                <c:formatCode>General</c:formatCode>
                <c:ptCount val="65"/>
                <c:pt idx="0">
                  <c:v>-59.372248954023043</c:v>
                </c:pt>
                <c:pt idx="1">
                  <c:v>-45.886836303916482</c:v>
                </c:pt>
                <c:pt idx="2">
                  <c:v>-34.023958299031804</c:v>
                </c:pt>
                <c:pt idx="3">
                  <c:v>-24.74853808630947</c:v>
                </c:pt>
                <c:pt idx="4">
                  <c:v>-17.878905962579093</c:v>
                </c:pt>
                <c:pt idx="5">
                  <c:v>-12.855577931876059</c:v>
                </c:pt>
                <c:pt idx="6">
                  <c:v>-9.1550026847386352</c:v>
                </c:pt>
                <c:pt idx="7">
                  <c:v>-6.3872151148592149</c:v>
                </c:pt>
                <c:pt idx="8">
                  <c:v>-4.2815628488142883</c:v>
                </c:pt>
                <c:pt idx="9">
                  <c:v>-2.6532105854279564</c:v>
                </c:pt>
                <c:pt idx="10">
                  <c:v>-1.3752308418582033</c:v>
                </c:pt>
                <c:pt idx="11">
                  <c:v>-0.35921756162750795</c:v>
                </c:pt>
                <c:pt idx="12">
                  <c:v>0.45747366570908005</c:v>
                </c:pt>
                <c:pt idx="13">
                  <c:v>1.1200270358102533</c:v>
                </c:pt>
                <c:pt idx="14">
                  <c:v>1.661597049000451</c:v>
                </c:pt>
                <c:pt idx="15">
                  <c:v>2.1069065467594816</c:v>
                </c:pt>
                <c:pt idx="16">
                  <c:v>2.4746682646479798</c:v>
                </c:pt>
                <c:pt idx="17">
                  <c:v>2.77924174297811</c:v>
                </c:pt>
                <c:pt idx="18">
                  <c:v>3.0317857639493186</c:v>
                </c:pt>
                <c:pt idx="19">
                  <c:v>3.2410726340901195</c:v>
                </c:pt>
                <c:pt idx="20">
                  <c:v>3.4140721746397862</c:v>
                </c:pt>
                <c:pt idx="21">
                  <c:v>3.5563764480770614</c:v>
                </c:pt>
                <c:pt idx="22">
                  <c:v>3.6725127155845407</c:v>
                </c:pt>
                <c:pt idx="23">
                  <c:v>3.7661768622420597</c:v>
                </c:pt>
                <c:pt idx="24">
                  <c:v>3.8404094866153256</c:v>
                </c:pt>
                <c:pt idx="25">
                  <c:v>3.8977301482105235</c:v>
                </c:pt>
                <c:pt idx="26">
                  <c:v>3.940240727853578</c:v>
                </c:pt>
                <c:pt idx="27">
                  <c:v>3.9697057419152082</c:v>
                </c:pt>
                <c:pt idx="28">
                  <c:v>3.987615287106669</c:v>
                </c:pt>
                <c:pt idx="29">
                  <c:v>3.9952347703007813</c:v>
                </c:pt>
                <c:pt idx="30">
                  <c:v>3.993644494805646</c:v>
                </c:pt>
                <c:pt idx="31">
                  <c:v>3.9837713956425755</c:v>
                </c:pt>
                <c:pt idx="32">
                  <c:v>3.9664146505051252</c:v>
                </c:pt>
                <c:pt idx="33">
                  <c:v>3.9422664779757373</c:v>
                </c:pt>
                <c:pt idx="34">
                  <c:v>3.911929127293813</c:v>
                </c:pt>
                <c:pt idx="35">
                  <c:v>3.8759288345308649</c:v>
                </c:pt>
                <c:pt idx="36">
                  <c:v>3.789576800918296</c:v>
                </c:pt>
                <c:pt idx="37">
                  <c:v>3.68208745767335</c:v>
                </c:pt>
                <c:pt idx="38">
                  <c:v>3.5679504847120089</c:v>
                </c:pt>
                <c:pt idx="39">
                  <c:v>3.4473954913222618</c:v>
                </c:pt>
                <c:pt idx="40">
                  <c:v>3.320614156688968</c:v>
                </c:pt>
                <c:pt idx="41">
                  <c:v>3.1877648765378068</c:v>
                </c:pt>
                <c:pt idx="42">
                  <c:v>3.048976687172575</c:v>
                </c:pt>
                <c:pt idx="43">
                  <c:v>2.9043525892689095</c:v>
                </c:pt>
                <c:pt idx="44">
                  <c:v>2.753972370998615</c:v>
                </c:pt>
                <c:pt idx="45">
                  <c:v>2.5978950119007833</c:v>
                </c:pt>
                <c:pt idx="46">
                  <c:v>2.4361607343759926</c:v>
                </c:pt>
                <c:pt idx="47">
                  <c:v>2.268792757983503</c:v>
                </c:pt>
                <c:pt idx="48">
                  <c:v>2.0957988022705405</c:v>
                </c:pt>
                <c:pt idx="49">
                  <c:v>1.9159332942896772</c:v>
                </c:pt>
                <c:pt idx="50">
                  <c:v>1.6388452529280166</c:v>
                </c:pt>
                <c:pt idx="51">
                  <c:v>1.084806629325098</c:v>
                </c:pt>
                <c:pt idx="52">
                  <c:v>9.9976033153932567E-2</c:v>
                </c:pt>
                <c:pt idx="53">
                  <c:v>-1.4654358821684992</c:v>
                </c:pt>
                <c:pt idx="54">
                  <c:v>-3.7607526247374365</c:v>
                </c:pt>
                <c:pt idx="55">
                  <c:v>-6.9277095411022023</c:v>
                </c:pt>
                <c:pt idx="56">
                  <c:v>-11.080456180441193</c:v>
                </c:pt>
                <c:pt idx="57">
                  <c:v>-16.268778414355683</c:v>
                </c:pt>
                <c:pt idx="58">
                  <c:v>-22.427877829300289</c:v>
                </c:pt>
                <c:pt idx="59">
                  <c:v>-29.336332291618028</c:v>
                </c:pt>
                <c:pt idx="60">
                  <c:v>-36.621775967501975</c:v>
                </c:pt>
                <c:pt idx="61">
                  <c:v>-43.839575964242414</c:v>
                </c:pt>
                <c:pt idx="62">
                  <c:v>-50.593157876124515</c:v>
                </c:pt>
                <c:pt idx="63">
                  <c:v>-56.623832430754511</c:v>
                </c:pt>
                <c:pt idx="64">
                  <c:v>-61.828080540749156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C9-442D-97B4-9C7E54573C64}"/>
            </c:ext>
          </c:extLst>
        </c:ser>
        <c:ser>
          <c:idx val="3"/>
          <c:order val="3"/>
          <c:tx>
            <c:v>gamma,h3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'ENecesario(W1)'!$R$108:$R$172</c:f>
              <c:numCache>
                <c:formatCode>General</c:formatCode>
                <c:ptCount val="65"/>
                <c:pt idx="0">
                  <c:v>-63.736702485453584</c:v>
                </c:pt>
                <c:pt idx="1">
                  <c:v>-51.48081667557377</c:v>
                </c:pt>
                <c:pt idx="2">
                  <c:v>-39.983423191163702</c:v>
                </c:pt>
                <c:pt idx="3">
                  <c:v>-30.427407681372639</c:v>
                </c:pt>
                <c:pt idx="4">
                  <c:v>-23.013558940616882</c:v>
                </c:pt>
                <c:pt idx="5">
                  <c:v>-17.417247793906693</c:v>
                </c:pt>
                <c:pt idx="6">
                  <c:v>-13.205880290597811</c:v>
                </c:pt>
                <c:pt idx="7">
                  <c:v>-10.009377114299971</c:v>
                </c:pt>
                <c:pt idx="8">
                  <c:v>-7.5510696680580098</c:v>
                </c:pt>
                <c:pt idx="9">
                  <c:v>-5.6334366554115318</c:v>
                </c:pt>
                <c:pt idx="10">
                  <c:v>-4.116963594888043</c:v>
                </c:pt>
                <c:pt idx="11">
                  <c:v>-2.9026448254877266</c:v>
                </c:pt>
                <c:pt idx="12">
                  <c:v>-1.9194176813463786</c:v>
                </c:pt>
                <c:pt idx="13">
                  <c:v>-1.1155562268284838</c:v>
                </c:pt>
                <c:pt idx="14">
                  <c:v>-0.45285197328532134</c:v>
                </c:pt>
                <c:pt idx="15">
                  <c:v>9.7329546554470972E-2</c:v>
                </c:pt>
                <c:pt idx="16">
                  <c:v>0.55674545764991912</c:v>
                </c:pt>
                <c:pt idx="17">
                  <c:v>0.94214232198541759</c:v>
                </c:pt>
                <c:pt idx="18">
                  <c:v>1.2665659168326191</c:v>
                </c:pt>
                <c:pt idx="19">
                  <c:v>1.5402928788088532</c:v>
                </c:pt>
                <c:pt idx="20">
                  <c:v>1.7715023395416483</c:v>
                </c:pt>
                <c:pt idx="21">
                  <c:v>1.9667664043889355</c:v>
                </c:pt>
                <c:pt idx="22">
                  <c:v>2.1314127524905038</c:v>
                </c:pt>
                <c:pt idx="23">
                  <c:v>2.2697958159388176</c:v>
                </c:pt>
                <c:pt idx="24">
                  <c:v>2.3855018037458833</c:v>
                </c:pt>
                <c:pt idx="25">
                  <c:v>2.4815052981513146</c:v>
                </c:pt>
                <c:pt idx="26">
                  <c:v>2.5602900111520706</c:v>
                </c:pt>
                <c:pt idx="27">
                  <c:v>2.6239427422974182</c:v>
                </c:pt>
                <c:pt idx="28">
                  <c:v>2.6742271023471038</c:v>
                </c:pt>
                <c:pt idx="29">
                  <c:v>2.712641818732962</c:v>
                </c:pt>
                <c:pt idx="30">
                  <c:v>2.7404671906373155</c:v>
                </c:pt>
                <c:pt idx="31">
                  <c:v>2.7588023614373323</c:v>
                </c:pt>
                <c:pt idx="32">
                  <c:v>2.7685954208229768</c:v>
                </c:pt>
                <c:pt idx="33">
                  <c:v>2.7706678671373037</c:v>
                </c:pt>
                <c:pt idx="34">
                  <c:v>2.7657346032480636</c:v>
                </c:pt>
                <c:pt idx="35">
                  <c:v>2.7544203721237692</c:v>
                </c:pt>
                <c:pt idx="36">
                  <c:v>2.7372733369312545</c:v>
                </c:pt>
                <c:pt idx="37">
                  <c:v>2.7147763575436321</c:v>
                </c:pt>
                <c:pt idx="38">
                  <c:v>2.6873563983605329</c:v>
                </c:pt>
                <c:pt idx="39">
                  <c:v>2.6553924122340464</c:v>
                </c:pt>
                <c:pt idx="40">
                  <c:v>2.6192219754339026</c:v>
                </c:pt>
                <c:pt idx="41">
                  <c:v>2.5791468940855653</c:v>
                </c:pt>
                <c:pt idx="42">
                  <c:v>2.5354379597454981</c:v>
                </c:pt>
                <c:pt idx="43">
                  <c:v>2.4883389980224275</c:v>
                </c:pt>
                <c:pt idx="44">
                  <c:v>2.4380703273685764</c:v>
                </c:pt>
                <c:pt idx="45">
                  <c:v>2.3246113699312381</c:v>
                </c:pt>
                <c:pt idx="46">
                  <c:v>2.2020509698451836</c:v>
                </c:pt>
                <c:pt idx="47">
                  <c:v>2.0743802746160256</c:v>
                </c:pt>
                <c:pt idx="48">
                  <c:v>1.9409258606822357</c:v>
                </c:pt>
                <c:pt idx="49">
                  <c:v>1.7282856352307476</c:v>
                </c:pt>
                <c:pt idx="50">
                  <c:v>1.2804774273778643</c:v>
                </c:pt>
                <c:pt idx="51">
                  <c:v>0.46350408827599188</c:v>
                </c:pt>
                <c:pt idx="52">
                  <c:v>-0.85338730992945788</c:v>
                </c:pt>
                <c:pt idx="53">
                  <c:v>-2.8020872969103388</c:v>
                </c:pt>
                <c:pt idx="54">
                  <c:v>-5.5120090080057009</c:v>
                </c:pt>
                <c:pt idx="55">
                  <c:v>-9.0975993466353948</c:v>
                </c:pt>
                <c:pt idx="56">
                  <c:v>-13.63342232656027</c:v>
                </c:pt>
                <c:pt idx="57">
                  <c:v>-19.115929862586714</c:v>
                </c:pt>
                <c:pt idx="58">
                  <c:v>-25.421375683027691</c:v>
                </c:pt>
                <c:pt idx="59">
                  <c:v>-32.285440877713249</c:v>
                </c:pt>
                <c:pt idx="60">
                  <c:v>-39.335123595149831</c:v>
                </c:pt>
                <c:pt idx="61">
                  <c:v>-46.175535759722685</c:v>
                </c:pt>
                <c:pt idx="62">
                  <c:v>-52.488150192003694</c:v>
                </c:pt>
                <c:pt idx="63">
                  <c:v>-58.086044186331939</c:v>
                </c:pt>
                <c:pt idx="64">
                  <c:v>-62.910382320083471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C9-442D-97B4-9C7E54573C64}"/>
            </c:ext>
          </c:extLst>
        </c:ser>
        <c:ser>
          <c:idx val="4"/>
          <c:order val="4"/>
          <c:tx>
            <c:v>gamma,h4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'ENecesario(W1)'!$V$108:$V$172</c:f>
              <c:numCache>
                <c:formatCode>General</c:formatCode>
                <c:ptCount val="65"/>
                <c:pt idx="0">
                  <c:v>-67.620365662970087</c:v>
                </c:pt>
                <c:pt idx="1">
                  <c:v>-56.678302438065806</c:v>
                </c:pt>
                <c:pt idx="2">
                  <c:v>-45.811231046485986</c:v>
                </c:pt>
                <c:pt idx="3">
                  <c:v>-36.216513339830705</c:v>
                </c:pt>
                <c:pt idx="4">
                  <c:v>-28.385542945016123</c:v>
                </c:pt>
                <c:pt idx="5">
                  <c:v>-22.250320460734009</c:v>
                </c:pt>
                <c:pt idx="6">
                  <c:v>-17.512600729153654</c:v>
                </c:pt>
                <c:pt idx="7">
                  <c:v>-13.851649748109104</c:v>
                </c:pt>
                <c:pt idx="8">
                  <c:v>-10.999861516171466</c:v>
                </c:pt>
                <c:pt idx="9">
                  <c:v>-8.7536449432432448</c:v>
                </c:pt>
                <c:pt idx="10">
                  <c:v>-6.9633449636943041</c:v>
                </c:pt>
                <c:pt idx="11">
                  <c:v>-5.5199277709079615</c:v>
                </c:pt>
                <c:pt idx="12">
                  <c:v>-4.3437099509627188</c:v>
                </c:pt>
                <c:pt idx="13">
                  <c:v>-3.3759478616522358</c:v>
                </c:pt>
                <c:pt idx="14">
                  <c:v>-2.5728468140367764</c:v>
                </c:pt>
                <c:pt idx="15">
                  <c:v>-1.9013599046952141</c:v>
                </c:pt>
                <c:pt idx="16">
                  <c:v>-1.3362460114196122</c:v>
                </c:pt>
                <c:pt idx="17">
                  <c:v>-0.85799807299909159</c:v>
                </c:pt>
                <c:pt idx="18">
                  <c:v>-0.45137100827772964</c:v>
                </c:pt>
                <c:pt idx="19">
                  <c:v>-0.10432454171758508</c:v>
                </c:pt>
                <c:pt idx="20">
                  <c:v>0.1927445905640541</c:v>
                </c:pt>
                <c:pt idx="21">
                  <c:v>0.44756660923265479</c:v>
                </c:pt>
                <c:pt idx="22">
                  <c:v>0.66641755614029174</c:v>
                </c:pt>
                <c:pt idx="23">
                  <c:v>0.85443372575093934</c:v>
                </c:pt>
                <c:pt idx="24">
                  <c:v>1.0158501177707768</c:v>
                </c:pt>
                <c:pt idx="25">
                  <c:v>1.154183027332482</c:v>
                </c:pt>
                <c:pt idx="26">
                  <c:v>1.2723711444386294</c:v>
                </c:pt>
                <c:pt idx="27">
                  <c:v>1.3728855366407147</c:v>
                </c:pt>
                <c:pt idx="28">
                  <c:v>1.4578160785552245</c:v>
                </c:pt>
                <c:pt idx="29">
                  <c:v>1.5289398961969198</c:v>
                </c:pt>
                <c:pt idx="30">
                  <c:v>1.5877759630513564</c:v>
                </c:pt>
                <c:pt idx="31">
                  <c:v>1.6356289487843632</c:v>
                </c:pt>
                <c:pt idx="32">
                  <c:v>1.6736246645404895</c:v>
                </c:pt>
                <c:pt idx="33">
                  <c:v>1.7027388908492154</c:v>
                </c:pt>
                <c:pt idx="34">
                  <c:v>1.7238209594340435</c:v>
                </c:pt>
                <c:pt idx="35">
                  <c:v>1.7376131494530815</c:v>
                </c:pt>
                <c:pt idx="36">
                  <c:v>1.7447667240334923</c:v>
                </c:pt>
                <c:pt idx="37">
                  <c:v>1.745855254454485</c:v>
                </c:pt>
                <c:pt idx="38">
                  <c:v>1.7413857425899084</c:v>
                </c:pt>
                <c:pt idx="39">
                  <c:v>1.7318079467668679</c:v>
                </c:pt>
                <c:pt idx="40">
                  <c:v>1.7175222343511654</c:v>
                </c:pt>
                <c:pt idx="41">
                  <c:v>1.6988862204583406</c:v>
                </c:pt>
                <c:pt idx="42">
                  <c:v>1.6762204019899891</c:v>
                </c:pt>
                <c:pt idx="43">
                  <c:v>1.6498129565453488</c:v>
                </c:pt>
                <c:pt idx="44">
                  <c:v>1.6199238442735928</c:v>
                </c:pt>
                <c:pt idx="45">
                  <c:v>1.5867883256034092</c:v>
                </c:pt>
                <c:pt idx="46">
                  <c:v>1.5506199876311724</c:v>
                </c:pt>
                <c:pt idx="47">
                  <c:v>1.5111078506372284</c:v>
                </c:pt>
                <c:pt idx="48">
                  <c:v>1.4070779051284321</c:v>
                </c:pt>
                <c:pt idx="49">
                  <c:v>1.1041830069198715</c:v>
                </c:pt>
                <c:pt idx="50">
                  <c:v>0.48667418841154125</c:v>
                </c:pt>
                <c:pt idx="51">
                  <c:v>-0.55864452056439984</c:v>
                </c:pt>
                <c:pt idx="52">
                  <c:v>-2.1795586920444552</c:v>
                </c:pt>
                <c:pt idx="53">
                  <c:v>-4.4930074975693879</c:v>
                </c:pt>
                <c:pt idx="54">
                  <c:v>-7.5753734952825136</c:v>
                </c:pt>
                <c:pt idx="55">
                  <c:v>-11.511037731750697</c:v>
                </c:pt>
                <c:pt idx="56">
                  <c:v>-16.333476828058323</c:v>
                </c:pt>
                <c:pt idx="57">
                  <c:v>-21.990150947105843</c:v>
                </c:pt>
                <c:pt idx="58">
                  <c:v>-28.313197700304631</c:v>
                </c:pt>
                <c:pt idx="59">
                  <c:v>-35.019885520481111</c:v>
                </c:pt>
                <c:pt idx="60">
                  <c:v>-41.760182742755831</c:v>
                </c:pt>
                <c:pt idx="61">
                  <c:v>-48.19804906697518</c:v>
                </c:pt>
                <c:pt idx="62">
                  <c:v>-54.084278756423309</c:v>
                </c:pt>
                <c:pt idx="63">
                  <c:v>-59.286238079904763</c:v>
                </c:pt>
                <c:pt idx="64">
                  <c:v>-63.77418284837303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C9-442D-97B4-9C7E54573C64}"/>
            </c:ext>
          </c:extLst>
        </c:ser>
        <c:ser>
          <c:idx val="5"/>
          <c:order val="5"/>
          <c:tx>
            <c:v>gamma,h5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'ENecesario(W1)'!$Z$108:$Z$172</c:f>
              <c:numCache>
                <c:formatCode>General</c:formatCode>
                <c:ptCount val="65"/>
                <c:pt idx="0">
                  <c:v>-71.059789027972556</c:v>
                </c:pt>
                <c:pt idx="1">
                  <c:v>-61.452394946586217</c:v>
                </c:pt>
                <c:pt idx="2">
                  <c:v>-51.432898433597693</c:v>
                </c:pt>
                <c:pt idx="3">
                  <c:v>-42.064392517513348</c:v>
                </c:pt>
                <c:pt idx="4">
                  <c:v>-33.999789520487589</c:v>
                </c:pt>
                <c:pt idx="5">
                  <c:v>-27.407626512227402</c:v>
                </c:pt>
                <c:pt idx="6">
                  <c:v>-22.156143595465167</c:v>
                </c:pt>
                <c:pt idx="7">
                  <c:v>-18.00739694194484</c:v>
                </c:pt>
                <c:pt idx="8">
                  <c:v>-14.724128918092516</c:v>
                </c:pt>
                <c:pt idx="9">
                  <c:v>-12.107828699167076</c:v>
                </c:pt>
                <c:pt idx="10">
                  <c:v>-10.003848412260567</c:v>
                </c:pt>
                <c:pt idx="11">
                  <c:v>-8.2951647941058617</c:v>
                </c:pt>
                <c:pt idx="12">
                  <c:v>-6.8940206615701038</c:v>
                </c:pt>
                <c:pt idx="13">
                  <c:v>-5.7345362616427753</c:v>
                </c:pt>
                <c:pt idx="14">
                  <c:v>-4.7669494196314064</c:v>
                </c:pt>
                <c:pt idx="15">
                  <c:v>-3.9533451523896055</c:v>
                </c:pt>
                <c:pt idx="16">
                  <c:v>-3.2645519431831054</c:v>
                </c:pt>
                <c:pt idx="17">
                  <c:v>-2.6778983182104152</c:v>
                </c:pt>
                <c:pt idx="18">
                  <c:v>-2.1755881637503123</c:v>
                </c:pt>
                <c:pt idx="19">
                  <c:v>-1.7435172456296213</c:v>
                </c:pt>
                <c:pt idx="20">
                  <c:v>-1.3704042829070511</c:v>
                </c:pt>
                <c:pt idx="21">
                  <c:v>-1.0471472659170085</c:v>
                </c:pt>
                <c:pt idx="22">
                  <c:v>-0.7663421748710384</c:v>
                </c:pt>
                <c:pt idx="23">
                  <c:v>-0.52191974795320073</c:v>
                </c:pt>
                <c:pt idx="24">
                  <c:v>-0.30886881690790835</c:v>
                </c:pt>
                <c:pt idx="25">
                  <c:v>-0.12302369762606982</c:v>
                </c:pt>
                <c:pt idx="26">
                  <c:v>3.9100595393201883E-2</c:v>
                </c:pt>
                <c:pt idx="27">
                  <c:v>0.18043711391809442</c:v>
                </c:pt>
                <c:pt idx="28">
                  <c:v>0.30346837823912381</c:v>
                </c:pt>
                <c:pt idx="29">
                  <c:v>0.4103068225906164</c:v>
                </c:pt>
                <c:pt idx="30">
                  <c:v>0.5027590631851887</c:v>
                </c:pt>
                <c:pt idx="31">
                  <c:v>0.58237758408819928</c:v>
                </c:pt>
                <c:pt idx="32">
                  <c:v>0.65050256673307194</c:v>
                </c:pt>
                <c:pt idx="33">
                  <c:v>0.70829594540366292</c:v>
                </c:pt>
                <c:pt idx="34">
                  <c:v>0.75676929102613522</c:v>
                </c:pt>
                <c:pt idx="35">
                  <c:v>0.79680676486456636</c:v>
                </c:pt>
                <c:pt idx="36">
                  <c:v>0.82918411059995678</c:v>
                </c:pt>
                <c:pt idx="37">
                  <c:v>0.85458444505023279</c:v>
                </c:pt>
                <c:pt idx="38">
                  <c:v>0.87361144796972501</c:v>
                </c:pt>
                <c:pt idx="39">
                  <c:v>0.88680042790485369</c:v>
                </c:pt>
                <c:pt idx="40">
                  <c:v>0.89462764511540871</c:v>
                </c:pt>
                <c:pt idx="41">
                  <c:v>0.89751819753161144</c:v>
                </c:pt>
                <c:pt idx="42">
                  <c:v>0.89585271670727828</c:v>
                </c:pt>
                <c:pt idx="43">
                  <c:v>0.88997307407134529</c:v>
                </c:pt>
                <c:pt idx="44">
                  <c:v>0.88018726069482101</c:v>
                </c:pt>
                <c:pt idx="45">
                  <c:v>0.86677357416559975</c:v>
                </c:pt>
                <c:pt idx="46">
                  <c:v>0.84952750446991754</c:v>
                </c:pt>
                <c:pt idx="47">
                  <c:v>0.77577216445215635</c:v>
                </c:pt>
                <c:pt idx="48">
                  <c:v>0.53047433079356199</c:v>
                </c:pt>
                <c:pt idx="49">
                  <c:v>1.4294009077827012E-2</c:v>
                </c:pt>
                <c:pt idx="50">
                  <c:v>-0.87012896334160772</c:v>
                </c:pt>
                <c:pt idx="51">
                  <c:v>-2.2222038980785124</c:v>
                </c:pt>
                <c:pt idx="52">
                  <c:v>-4.1429057195885006</c:v>
                </c:pt>
                <c:pt idx="53">
                  <c:v>-6.7302910723551186</c:v>
                </c:pt>
                <c:pt idx="54">
                  <c:v>-10.069242357020043</c:v>
                </c:pt>
                <c:pt idx="55">
                  <c:v>-14.213354993830555</c:v>
                </c:pt>
                <c:pt idx="56">
                  <c:v>-19.158932719836752</c:v>
                </c:pt>
                <c:pt idx="57">
                  <c:v>-24.816961870126811</c:v>
                </c:pt>
                <c:pt idx="58">
                  <c:v>-30.997572011339475</c:v>
                </c:pt>
                <c:pt idx="59">
                  <c:v>-37.463920713072959</c:v>
                </c:pt>
                <c:pt idx="60">
                  <c:v>-43.8558203675424</c:v>
                </c:pt>
                <c:pt idx="61">
                  <c:v>-49.89299771331185</c:v>
                </c:pt>
                <c:pt idx="62">
                  <c:v>-55.382831496602364</c:v>
                </c:pt>
                <c:pt idx="63">
                  <c:v>-60.231456956005005</c:v>
                </c:pt>
                <c:pt idx="64">
                  <c:v>-64.426707552611532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C9-442D-97B4-9C7E54573C64}"/>
            </c:ext>
          </c:extLst>
        </c:ser>
        <c:ser>
          <c:idx val="6"/>
          <c:order val="6"/>
          <c:tx>
            <c:v>gamma,h6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'ENecesario(W1)'!$AD$108:$AD$171</c:f>
              <c:numCache>
                <c:formatCode>General</c:formatCode>
                <c:ptCount val="64"/>
                <c:pt idx="0">
                  <c:v>-74.089256580990281</c:v>
                </c:pt>
                <c:pt idx="1">
                  <c:v>-65.785269388042735</c:v>
                </c:pt>
                <c:pt idx="2">
                  <c:v>-56.767104911368783</c:v>
                </c:pt>
                <c:pt idx="3">
                  <c:v>-47.884256661118812</c:v>
                </c:pt>
                <c:pt idx="4">
                  <c:v>-39.818017072091173</c:v>
                </c:pt>
                <c:pt idx="5">
                  <c:v>-32.909939287153499</c:v>
                </c:pt>
                <c:pt idx="6">
                  <c:v>-27.201420002855684</c:v>
                </c:pt>
                <c:pt idx="7">
                  <c:v>-22.566980686432156</c:v>
                </c:pt>
                <c:pt idx="8">
                  <c:v>-18.825642990112566</c:v>
                </c:pt>
                <c:pt idx="9">
                  <c:v>-15.800479836319104</c:v>
                </c:pt>
                <c:pt idx="10">
                  <c:v>-13.340890360324748</c:v>
                </c:pt>
                <c:pt idx="11">
                  <c:v>-11.326316168132703</c:v>
                </c:pt>
                <c:pt idx="12">
                  <c:v>-9.6628600972757273</c:v>
                </c:pt>
                <c:pt idx="13">
                  <c:v>-8.2781435664509342</c:v>
                </c:pt>
                <c:pt idx="14">
                  <c:v>-7.1164460473560869</c:v>
                </c:pt>
                <c:pt idx="15">
                  <c:v>-6.1347145693527896</c:v>
                </c:pt>
                <c:pt idx="16">
                  <c:v>-5.2994746548984599</c:v>
                </c:pt>
                <c:pt idx="17">
                  <c:v>-4.5845008819308326</c:v>
                </c:pt>
                <c:pt idx="18">
                  <c:v>-3.9690785783730402</c:v>
                </c:pt>
                <c:pt idx="19">
                  <c:v>-3.4367094181272915</c:v>
                </c:pt>
                <c:pt idx="20">
                  <c:v>-2.9741451654215418</c:v>
                </c:pt>
                <c:pt idx="21">
                  <c:v>-2.5706626948184548</c:v>
                </c:pt>
                <c:pt idx="22">
                  <c:v>-2.2175164703149677</c:v>
                </c:pt>
                <c:pt idx="23">
                  <c:v>-1.9075220173381662</c:v>
                </c:pt>
                <c:pt idx="24">
                  <c:v>-1.6347366210634375</c:v>
                </c:pt>
                <c:pt idx="25">
                  <c:v>-1.3942126638189232</c:v>
                </c:pt>
                <c:pt idx="26">
                  <c:v>-1.1818056201542826</c:v>
                </c:pt>
                <c:pt idx="27">
                  <c:v>-0.9940234835245978</c:v>
                </c:pt>
                <c:pt idx="28">
                  <c:v>-0.82790783260438094</c:v>
                </c:pt>
                <c:pt idx="29">
                  <c:v>-0.68093923718163563</c:v>
                </c:pt>
                <c:pt idx="30">
                  <c:v>-0.55096152249197949</c:v>
                </c:pt>
                <c:pt idx="31">
                  <c:v>-0.43612074709790849</c:v>
                </c:pt>
                <c:pt idx="32">
                  <c:v>-0.33481573772840584</c:v>
                </c:pt>
                <c:pt idx="33">
                  <c:v>-0.24565776050566673</c:v>
                </c:pt>
                <c:pt idx="34">
                  <c:v>-0.16743745988400938</c:v>
                </c:pt>
                <c:pt idx="35">
                  <c:v>-9.9097613284525501E-2</c:v>
                </c:pt>
                <c:pt idx="36">
                  <c:v>-3.9710566065761579E-2</c:v>
                </c:pt>
                <c:pt idx="37">
                  <c:v>1.1540546308869455E-2</c:v>
                </c:pt>
                <c:pt idx="38">
                  <c:v>5.5377495595906184E-2</c:v>
                </c:pt>
                <c:pt idx="39">
                  <c:v>9.2440139881042133E-2</c:v>
                </c:pt>
                <c:pt idx="40">
                  <c:v>0.1232975342771182</c:v>
                </c:pt>
                <c:pt idx="41">
                  <c:v>0.14845733488760249</c:v>
                </c:pt>
                <c:pt idx="42">
                  <c:v>0.16837378829074948</c:v>
                </c:pt>
                <c:pt idx="43">
                  <c:v>0.18345454382555426</c:v>
                </c:pt>
                <c:pt idx="44">
                  <c:v>0.19406648220627751</c:v>
                </c:pt>
                <c:pt idx="45">
                  <c:v>0.20001043343469022</c:v>
                </c:pt>
                <c:pt idx="46">
                  <c:v>0.15446686523679504</c:v>
                </c:pt>
                <c:pt idx="47">
                  <c:v>-4.0297620404138576E-2</c:v>
                </c:pt>
                <c:pt idx="48">
                  <c:v>-0.46886946358133147</c:v>
                </c:pt>
                <c:pt idx="49">
                  <c:v>-1.2145085896919883</c:v>
                </c:pt>
                <c:pt idx="50">
                  <c:v>-2.3625407843525505</c:v>
                </c:pt>
                <c:pt idx="51">
                  <c:v>-4.000340798743153</c:v>
                </c:pt>
                <c:pt idx="52">
                  <c:v>-6.2145851852194411</c:v>
                </c:pt>
                <c:pt idx="53">
                  <c:v>-9.0846616064892149</c:v>
                </c:pt>
                <c:pt idx="54">
                  <c:v>-12.670632565897803</c:v>
                </c:pt>
                <c:pt idx="55">
                  <c:v>-16.99488308023853</c:v>
                </c:pt>
                <c:pt idx="56">
                  <c:v>-22.019549510576503</c:v>
                </c:pt>
                <c:pt idx="57">
                  <c:v>-27.627385703472836</c:v>
                </c:pt>
                <c:pt idx="58">
                  <c:v>-33.618969217136211</c:v>
                </c:pt>
                <c:pt idx="59">
                  <c:v>-39.737027241747789</c:v>
                </c:pt>
                <c:pt idx="60">
                  <c:v>-45.714722935169654</c:v>
                </c:pt>
                <c:pt idx="61">
                  <c:v>-51.327778491534225</c:v>
                </c:pt>
                <c:pt idx="62">
                  <c:v>-56.427288283953175</c:v>
                </c:pt>
                <c:pt idx="63">
                  <c:v>-60.944365453262591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C9-442D-97B4-9C7E54573C64}"/>
            </c:ext>
          </c:extLst>
        </c:ser>
        <c:ser>
          <c:idx val="7"/>
          <c:order val="7"/>
          <c:tx>
            <c:v>gamma,h7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'ENecesario(W1)'!$A$108:$A$172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'ENecesario(W1)'!$AH$108:$AH$172</c:f>
              <c:numCache>
                <c:formatCode>General</c:formatCode>
                <c:ptCount val="65"/>
                <c:pt idx="0">
                  <c:v>-76.741357782891868</c:v>
                </c:pt>
                <c:pt idx="1">
                  <c:v>-69.670025619309499</c:v>
                </c:pt>
                <c:pt idx="2">
                  <c:v>-61.737238623837584</c:v>
                </c:pt>
                <c:pt idx="3">
                  <c:v>-53.562766344749654</c:v>
                </c:pt>
                <c:pt idx="4">
                  <c:v>-45.752239120562173</c:v>
                </c:pt>
                <c:pt idx="5">
                  <c:v>-38.729033706161857</c:v>
                </c:pt>
                <c:pt idx="6">
                  <c:v>-32.679282821911784</c:v>
                </c:pt>
                <c:pt idx="7">
                  <c:v>-27.603831069365459</c:v>
                </c:pt>
                <c:pt idx="8">
                  <c:v>-23.402926859194615</c:v>
                </c:pt>
                <c:pt idx="9">
                  <c:v>-19.942082506154918</c:v>
                </c:pt>
                <c:pt idx="10">
                  <c:v>-17.088456683915517</c:v>
                </c:pt>
                <c:pt idx="11">
                  <c:v>-14.725915354299541</c:v>
                </c:pt>
                <c:pt idx="12">
                  <c:v>-12.758646670184515</c:v>
                </c:pt>
                <c:pt idx="13">
                  <c:v>-11.109806388879997</c:v>
                </c:pt>
                <c:pt idx="14">
                  <c:v>-9.7185368281607438</c:v>
                </c:pt>
                <c:pt idx="15">
                  <c:v>-8.53683028336234</c:v>
                </c:pt>
                <c:pt idx="16">
                  <c:v>-7.5267762737488617</c:v>
                </c:pt>
                <c:pt idx="17">
                  <c:v>-6.6583210131506325</c:v>
                </c:pt>
                <c:pt idx="18">
                  <c:v>-5.907507916021749</c:v>
                </c:pt>
                <c:pt idx="19">
                  <c:v>-5.2551192350726232</c:v>
                </c:pt>
                <c:pt idx="20">
                  <c:v>-4.6856347606171784</c:v>
                </c:pt>
                <c:pt idx="21">
                  <c:v>-4.186434665886269</c:v>
                </c:pt>
                <c:pt idx="22">
                  <c:v>-3.7471880401637003</c:v>
                </c:pt>
                <c:pt idx="23">
                  <c:v>-3.3593819806153959</c:v>
                </c:pt>
                <c:pt idx="24">
                  <c:v>-3.0159570526044917</c:v>
                </c:pt>
                <c:pt idx="25">
                  <c:v>-2.7110234401867661</c:v>
                </c:pt>
                <c:pt idx="26">
                  <c:v>-2.4396385569369583</c:v>
                </c:pt>
                <c:pt idx="27">
                  <c:v>-2.1976317074818987</c:v>
                </c:pt>
                <c:pt idx="28">
                  <c:v>-1.981464972005615</c:v>
                </c:pt>
                <c:pt idx="29">
                  <c:v>-1.7881221438327215</c:v>
                </c:pt>
                <c:pt idx="30">
                  <c:v>-1.6150195249762631</c:v>
                </c:pt>
                <c:pt idx="31">
                  <c:v>-1.4599338563051343</c:v>
                </c:pt>
                <c:pt idx="32">
                  <c:v>-1.3209437604579719</c:v>
                </c:pt>
                <c:pt idx="33">
                  <c:v>-1.1963819039938215</c:v>
                </c:pt>
                <c:pt idx="34">
                  <c:v>-1.0847957115433915</c:v>
                </c:pt>
                <c:pt idx="35">
                  <c:v>-0.98491494083012165</c:v>
                </c:pt>
                <c:pt idx="36">
                  <c:v>-0.89562479141537599</c:v>
                </c:pt>
                <c:pt idx="37">
                  <c:v>-0.81594349986347847</c:v>
                </c:pt>
                <c:pt idx="38">
                  <c:v>-0.74500359037817732</c:v>
                </c:pt>
                <c:pt idx="39">
                  <c:v>-0.68203611815869525</c:v>
                </c:pt>
                <c:pt idx="40">
                  <c:v>-0.62635737418720971</c:v>
                </c:pt>
                <c:pt idx="41">
                  <c:v>-0.57735762345451735</c:v>
                </c:pt>
                <c:pt idx="42">
                  <c:v>-0.53449153020849927</c:v>
                </c:pt>
                <c:pt idx="43">
                  <c:v>-0.49726998855717935</c:v>
                </c:pt>
                <c:pt idx="44">
                  <c:v>-0.46599424190330041</c:v>
                </c:pt>
                <c:pt idx="45">
                  <c:v>-0.48346992880729578</c:v>
                </c:pt>
                <c:pt idx="46">
                  <c:v>-0.63194441051457606</c:v>
                </c:pt>
                <c:pt idx="47">
                  <c:v>-0.98284276732945108</c:v>
                </c:pt>
                <c:pt idx="48">
                  <c:v>-1.6069149259961311</c:v>
                </c:pt>
                <c:pt idx="49">
                  <c:v>-2.5769626709539573</c:v>
                </c:pt>
                <c:pt idx="50">
                  <c:v>-3.9680396957713024</c:v>
                </c:pt>
                <c:pt idx="51">
                  <c:v>-5.8557894194330613</c:v>
                </c:pt>
                <c:pt idx="52">
                  <c:v>-8.3122487214809766</c:v>
                </c:pt>
                <c:pt idx="53">
                  <c:v>-11.397983439772103</c:v>
                </c:pt>
                <c:pt idx="54">
                  <c:v>-15.149575374980513</c:v>
                </c:pt>
                <c:pt idx="55">
                  <c:v>-19.56282607914525</c:v>
                </c:pt>
                <c:pt idx="56">
                  <c:v>-24.57516329411084</c:v>
                </c:pt>
                <c:pt idx="57">
                  <c:v>-30.054963841989544</c:v>
                </c:pt>
                <c:pt idx="58">
                  <c:v>-35.807486099451992</c:v>
                </c:pt>
                <c:pt idx="59">
                  <c:v>-41.6021185815666</c:v>
                </c:pt>
                <c:pt idx="60">
                  <c:v>-47.213777116625501</c:v>
                </c:pt>
                <c:pt idx="61">
                  <c:v>-52.461514694199025</c:v>
                </c:pt>
                <c:pt idx="62">
                  <c:v>-57.229403457340325</c:v>
                </c:pt>
                <c:pt idx="63">
                  <c:v>-61.466434074110921</c:v>
                </c:pt>
                <c:pt idx="64">
                  <c:v>-65.172555718770994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C9-442D-97B4-9C7E5457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39744"/>
        <c:axId val="2042340832"/>
      </c:scatterChart>
      <c:valAx>
        <c:axId val="204233974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incidente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40832"/>
        <c:crosses val="autoZero"/>
        <c:crossBetween val="midCat"/>
      </c:valAx>
      <c:valAx>
        <c:axId val="204234083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</a:t>
                </a:r>
                <a:r>
                  <a:rPr lang="es-ES" baseline="0"/>
                  <a:t> de suida (º)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'ENecesario(W2)'!$E$108:$E$172</c:f>
              <c:numCache>
                <c:formatCode>General</c:formatCode>
                <c:ptCount val="65"/>
                <c:pt idx="0">
                  <c:v>-19.31769987848487</c:v>
                </c:pt>
                <c:pt idx="1">
                  <c:v>-13.429500889097193</c:v>
                </c:pt>
                <c:pt idx="2">
                  <c:v>-9.1755690070265334</c:v>
                </c:pt>
                <c:pt idx="3">
                  <c:v>-5.8676900522146322</c:v>
                </c:pt>
                <c:pt idx="4">
                  <c:v>-3.1616408996197349</c:v>
                </c:pt>
                <c:pt idx="5">
                  <c:v>-0.86621265684307003</c:v>
                </c:pt>
                <c:pt idx="6">
                  <c:v>1.1332136292094148</c:v>
                </c:pt>
                <c:pt idx="7">
                  <c:v>2.9094238982848033</c:v>
                </c:pt>
                <c:pt idx="8">
                  <c:v>4.5107605646184075</c:v>
                </c:pt>
                <c:pt idx="9">
                  <c:v>5.9704929493529173</c:v>
                </c:pt>
                <c:pt idx="10">
                  <c:v>7.3121762467580336</c:v>
                </c:pt>
                <c:pt idx="11">
                  <c:v>8.5528698488555577</c:v>
                </c:pt>
                <c:pt idx="12">
                  <c:v>9.7051507929675687</c:v>
                </c:pt>
                <c:pt idx="13">
                  <c:v>10.778417947540772</c:v>
                </c:pt>
                <c:pt idx="14">
                  <c:v>11.779762408888088</c:v>
                </c:pt>
                <c:pt idx="15">
                  <c:v>12.714563676837797</c:v>
                </c:pt>
                <c:pt idx="16">
                  <c:v>13.586907405288052</c:v>
                </c:pt>
                <c:pt idx="17">
                  <c:v>14.399884067145534</c:v>
                </c:pt>
                <c:pt idx="18">
                  <c:v>15.155806320684226</c:v>
                </c:pt>
                <c:pt idx="19">
                  <c:v>15.856369738881877</c:v>
                </c:pt>
                <c:pt idx="20">
                  <c:v>16.502773355392119</c:v>
                </c:pt>
                <c:pt idx="21">
                  <c:v>17.095811224661691</c:v>
                </c:pt>
                <c:pt idx="22">
                  <c:v>17.635942754811861</c:v>
                </c:pt>
                <c:pt idx="23">
                  <c:v>18.123347277751954</c:v>
                </c:pt>
                <c:pt idx="24">
                  <c:v>18.557966763115672</c:v>
                </c:pt>
                <c:pt idx="25">
                  <c:v>18.939539507378907</c:v>
                </c:pt>
                <c:pt idx="26">
                  <c:v>19.26762687623301</c:v>
                </c:pt>
                <c:pt idx="27">
                  <c:v>19.541634643226111</c:v>
                </c:pt>
                <c:pt idx="28">
                  <c:v>19.760830082750335</c:v>
                </c:pt>
                <c:pt idx="29">
                  <c:v>19.924355695218456</c:v>
                </c:pt>
                <c:pt idx="30">
                  <c:v>20.031240236000503</c:v>
                </c:pt>
                <c:pt idx="31">
                  <c:v>20.080407566283768</c:v>
                </c:pt>
                <c:pt idx="32">
                  <c:v>20.070683728823653</c:v>
                </c:pt>
                <c:pt idx="33">
                  <c:v>20.000802564263068</c:v>
                </c:pt>
                <c:pt idx="34">
                  <c:v>19.869410116986803</c:v>
                </c:pt>
                <c:pt idx="35">
                  <c:v>19.675068028081647</c:v>
                </c:pt>
                <c:pt idx="36">
                  <c:v>19.416256073073885</c:v>
                </c:pt>
                <c:pt idx="37">
                  <c:v>19.091373970916997</c:v>
                </c:pt>
                <c:pt idx="38">
                  <c:v>18.698742566137877</c:v>
                </c:pt>
                <c:pt idx="39">
                  <c:v>18.236604466582151</c:v>
                </c:pt>
                <c:pt idx="40">
                  <c:v>17.703124203673621</c:v>
                </c:pt>
                <c:pt idx="41">
                  <c:v>17.096387969644905</c:v>
                </c:pt>
                <c:pt idx="42">
                  <c:v>16.414402976143464</c:v>
                </c:pt>
                <c:pt idx="43">
                  <c:v>15.655096470456961</c:v>
                </c:pt>
                <c:pt idx="44">
                  <c:v>14.816314438944003</c:v>
                </c:pt>
                <c:pt idx="45">
                  <c:v>13.895820021791897</c:v>
                </c:pt>
                <c:pt idx="46">
                  <c:v>12.89129165871795</c:v>
                </c:pt>
                <c:pt idx="47">
                  <c:v>11.800320981493577</c:v>
                </c:pt>
                <c:pt idx="48">
                  <c:v>10.620410466057351</c:v>
                </c:pt>
                <c:pt idx="49">
                  <c:v>9.3489708543735457</c:v>
                </c:pt>
                <c:pt idx="50">
                  <c:v>7.9833183539961965</c:v>
                </c:pt>
                <c:pt idx="51">
                  <c:v>6.4951729558705154</c:v>
                </c:pt>
                <c:pt idx="52">
                  <c:v>4.0837362415438037</c:v>
                </c:pt>
                <c:pt idx="53">
                  <c:v>-0.60790016334477681</c:v>
                </c:pt>
                <c:pt idx="54">
                  <c:v>-8.8346314935795256</c:v>
                </c:pt>
                <c:pt idx="55">
                  <c:v>-21.909588352857366</c:v>
                </c:pt>
                <c:pt idx="56">
                  <c:v>-41.251286526940476</c:v>
                </c:pt>
                <c:pt idx="57">
                  <c:v>-68.406292273106786</c:v>
                </c:pt>
                <c:pt idx="58">
                  <c:v>-105.06443385334174</c:v>
                </c:pt>
                <c:pt idx="59">
                  <c:v>-153.07094177804171</c:v>
                </c:pt>
                <c:pt idx="60">
                  <c:v>-214.43712685047214</c:v>
                </c:pt>
                <c:pt idx="61">
                  <c:v>-291.350308138983</c:v>
                </c:pt>
                <c:pt idx="62">
                  <c:v>-386.18334645138589</c:v>
                </c:pt>
                <c:pt idx="63">
                  <c:v>-501.50397670218308</c:v>
                </c:pt>
                <c:pt idx="64">
                  <c:v>-640.08405129968071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2-4115-A31B-CD3B0EBFD649}"/>
            </c:ext>
          </c:extLst>
        </c:ser>
        <c:ser>
          <c:idx val="1"/>
          <c:order val="1"/>
          <c:tx>
            <c:v>h=1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'ENecesario(W2)'!$I$108:$I$172</c:f>
              <c:numCache>
                <c:formatCode>General</c:formatCode>
                <c:ptCount val="65"/>
                <c:pt idx="0">
                  <c:v>-23.886028708499079</c:v>
                </c:pt>
                <c:pt idx="1">
                  <c:v>-17.414903926403806</c:v>
                </c:pt>
                <c:pt idx="2">
                  <c:v>-12.822932661534077</c:v>
                </c:pt>
                <c:pt idx="3">
                  <c:v>-9.3133664897541255</c:v>
                </c:pt>
                <c:pt idx="4">
                  <c:v>-6.4874940097190503</c:v>
                </c:pt>
                <c:pt idx="5">
                  <c:v>-4.1236207680743142</c:v>
                </c:pt>
                <c:pt idx="6">
                  <c:v>-2.0886317466304227</c:v>
                </c:pt>
                <c:pt idx="7">
                  <c:v>-0.29777576175499609</c:v>
                </c:pt>
                <c:pt idx="8">
                  <c:v>1.3054525517532083</c:v>
                </c:pt>
                <c:pt idx="9">
                  <c:v>2.7601521262364037</c:v>
                </c:pt>
                <c:pt idx="10">
                  <c:v>4.0942138746184824</c:v>
                </c:pt>
                <c:pt idx="11">
                  <c:v>5.3280428950594567</c:v>
                </c:pt>
                <c:pt idx="12">
                  <c:v>6.4768871483793919</c:v>
                </c:pt>
                <c:pt idx="13">
                  <c:v>7.5523459728429136</c:v>
                </c:pt>
                <c:pt idx="14">
                  <c:v>8.5633770848669535</c:v>
                </c:pt>
                <c:pt idx="15">
                  <c:v>9.5169866192618073</c:v>
                </c:pt>
                <c:pt idx="16">
                  <c:v>10.418712989691459</c:v>
                </c:pt>
                <c:pt idx="17">
                  <c:v>11.27297318102543</c:v>
                </c:pt>
                <c:pt idx="18">
                  <c:v>12.083315158730894</c:v>
                </c:pt>
                <c:pt idx="19">
                  <c:v>12.852604902153599</c:v>
                </c:pt>
                <c:pt idx="20">
                  <c:v>13.583167078266484</c:v>
                </c:pt>
                <c:pt idx="21">
                  <c:v>14.276892296034839</c:v>
                </c:pt>
                <c:pt idx="22">
                  <c:v>14.935319906616494</c:v>
                </c:pt>
                <c:pt idx="23">
                  <c:v>15.559702663313656</c:v>
                </c:pt>
                <c:pt idx="24">
                  <c:v>16.116972223871137</c:v>
                </c:pt>
                <c:pt idx="25">
                  <c:v>16.531078144629703</c:v>
                </c:pt>
                <c:pt idx="26">
                  <c:v>16.898125384415984</c:v>
                </c:pt>
                <c:pt idx="27">
                  <c:v>17.217898537914113</c:v>
                </c:pt>
                <c:pt idx="28">
                  <c:v>17.490034819571154</c:v>
                </c:pt>
                <c:pt idx="29">
                  <c:v>17.714040225320925</c:v>
                </c:pt>
                <c:pt idx="30">
                  <c:v>17.889302612036552</c:v>
                </c:pt>
                <c:pt idx="31">
                  <c:v>18.015102292195252</c:v>
                </c:pt>
                <c:pt idx="32">
                  <c:v>18.090620608409569</c:v>
                </c:pt>
                <c:pt idx="33">
                  <c:v>18.11494685186052</c:v>
                </c:pt>
                <c:pt idx="34">
                  <c:v>18.087083811796717</c:v>
                </c:pt>
                <c:pt idx="35">
                  <c:v>18.005952184061734</c:v>
                </c:pt>
                <c:pt idx="36">
                  <c:v>17.870394020670979</c:v>
                </c:pt>
                <c:pt idx="37">
                  <c:v>17.67917536655111</c:v>
                </c:pt>
                <c:pt idx="38">
                  <c:v>17.430988201296174</c:v>
                </c:pt>
                <c:pt idx="39">
                  <c:v>17.124451781409565</c:v>
                </c:pt>
                <c:pt idx="40">
                  <c:v>16.75811346065872</c:v>
                </c:pt>
                <c:pt idx="41">
                  <c:v>16.330449051862427</c:v>
                </c:pt>
                <c:pt idx="42">
                  <c:v>15.839862781891359</c:v>
                </c:pt>
                <c:pt idx="43">
                  <c:v>15.284686882306024</c:v>
                </c:pt>
                <c:pt idx="44">
                  <c:v>14.66318085042516</c:v>
                </c:pt>
                <c:pt idx="45">
                  <c:v>13.97353040936426</c:v>
                </c:pt>
                <c:pt idx="46">
                  <c:v>13.213846190431669</c:v>
                </c:pt>
                <c:pt idx="47">
                  <c:v>12.382162157002211</c:v>
                </c:pt>
                <c:pt idx="48">
                  <c:v>11.476433785437754</c:v>
                </c:pt>
                <c:pt idx="49">
                  <c:v>10.494536015654656</c:v>
                </c:pt>
                <c:pt idx="50">
                  <c:v>9.4216232169591922</c:v>
                </c:pt>
                <c:pt idx="51">
                  <c:v>7.6382678201968019</c:v>
                </c:pt>
                <c:pt idx="52">
                  <c:v>3.9716007333695225</c:v>
                </c:pt>
                <c:pt idx="53">
                  <c:v>-2.6625386092156025</c:v>
                </c:pt>
                <c:pt idx="54">
                  <c:v>-13.397007690830304</c:v>
                </c:pt>
                <c:pt idx="55">
                  <c:v>-29.456902456662558</c:v>
                </c:pt>
                <c:pt idx="56">
                  <c:v>-52.179926002555725</c:v>
                </c:pt>
                <c:pt idx="57">
                  <c:v>-83.029951498954986</c:v>
                </c:pt>
                <c:pt idx="58">
                  <c:v>-123.60782674093285</c:v>
                </c:pt>
                <c:pt idx="59">
                  <c:v>-175.66088035049381</c:v>
                </c:pt>
                <c:pt idx="60">
                  <c:v>-241.09176869680579</c:v>
                </c:pt>
                <c:pt idx="61">
                  <c:v>-321.96698012838721</c:v>
                </c:pt>
                <c:pt idx="62">
                  <c:v>-420.52516766503874</c:v>
                </c:pt>
                <c:pt idx="63">
                  <c:v>-539.18540888832604</c:v>
                </c:pt>
                <c:pt idx="64">
                  <c:v>-680.55545292492366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2-4115-A31B-CD3B0EBFD649}"/>
            </c:ext>
          </c:extLst>
        </c:ser>
        <c:ser>
          <c:idx val="2"/>
          <c:order val="2"/>
          <c:tx>
            <c:v>h=2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'ENecesario(W2)'!$M$108:$M$172</c:f>
              <c:numCache>
                <c:formatCode>General</c:formatCode>
                <c:ptCount val="65"/>
                <c:pt idx="0">
                  <c:v>-29.117389415750047</c:v>
                </c:pt>
                <c:pt idx="1">
                  <c:v>-21.891652474688321</c:v>
                </c:pt>
                <c:pt idx="2">
                  <c:v>-16.84481518668996</c:v>
                </c:pt>
                <c:pt idx="3">
                  <c:v>-13.05028780699401</c:v>
                </c:pt>
                <c:pt idx="4">
                  <c:v>-10.044499124139614</c:v>
                </c:pt>
                <c:pt idx="5">
                  <c:v>-7.5697575505922092</c:v>
                </c:pt>
                <c:pt idx="6">
                  <c:v>-5.4713708458447821</c:v>
                </c:pt>
                <c:pt idx="7">
                  <c:v>-3.6508683198453404</c:v>
                </c:pt>
                <c:pt idx="8">
                  <c:v>-2.0426033583648255</c:v>
                </c:pt>
                <c:pt idx="9">
                  <c:v>-0.60114923028722567</c:v>
                </c:pt>
                <c:pt idx="10">
                  <c:v>0.70590707586163393</c:v>
                </c:pt>
                <c:pt idx="11">
                  <c:v>1.9022912084438772</c:v>
                </c:pt>
                <c:pt idx="12">
                  <c:v>3.0057473645909818</c:v>
                </c:pt>
                <c:pt idx="13">
                  <c:v>4.029790629625694</c:v>
                </c:pt>
                <c:pt idx="14">
                  <c:v>4.984876322979094</c:v>
                </c:pt>
                <c:pt idx="15">
                  <c:v>5.8792009573753665</c:v>
                </c:pt>
                <c:pt idx="16">
                  <c:v>6.7192636160202808</c:v>
                </c:pt>
                <c:pt idx="17">
                  <c:v>7.5102675118574531</c:v>
                </c:pt>
                <c:pt idx="18">
                  <c:v>8.2564125072809595</c:v>
                </c:pt>
                <c:pt idx="19">
                  <c:v>8.9611117245181635</c:v>
                </c:pt>
                <c:pt idx="20">
                  <c:v>9.6271543435753593</c:v>
                </c:pt>
                <c:pt idx="21">
                  <c:v>10.256829621085306</c:v>
                </c:pt>
                <c:pt idx="22">
                  <c:v>10.852022543341999</c:v>
                </c:pt>
                <c:pt idx="23">
                  <c:v>11.414288445641237</c:v>
                </c:pt>
                <c:pt idx="24">
                  <c:v>11.944911838426728</c:v>
                </c:pt>
                <c:pt idx="25">
                  <c:v>12.44495323763466</c:v>
                </c:pt>
                <c:pt idx="26">
                  <c:v>12.915286785997246</c:v>
                </c:pt>
                <c:pt idx="27">
                  <c:v>13.356630734493001</c:v>
                </c:pt>
                <c:pt idx="28">
                  <c:v>13.769572337111525</c:v>
                </c:pt>
                <c:pt idx="29">
                  <c:v>14.154588336604041</c:v>
                </c:pt>
                <c:pt idx="30">
                  <c:v>14.512061942629137</c:v>
                </c:pt>
                <c:pt idx="31">
                  <c:v>14.842296998351436</c:v>
                </c:pt>
                <c:pt idx="32">
                  <c:v>15.145529877434557</c:v>
                </c:pt>
                <c:pt idx="33">
                  <c:v>15.421939536657952</c:v>
                </c:pt>
                <c:pt idx="34">
                  <c:v>15.671656060251289</c:v>
                </c:pt>
                <c:pt idx="35">
                  <c:v>15.894767963417769</c:v>
                </c:pt>
                <c:pt idx="36">
                  <c:v>15.912091700656067</c:v>
                </c:pt>
                <c:pt idx="37">
                  <c:v>15.827502660746454</c:v>
                </c:pt>
                <c:pt idx="38">
                  <c:v>15.695056653512973</c:v>
                </c:pt>
                <c:pt idx="39">
                  <c:v>15.513705890589319</c:v>
                </c:pt>
                <c:pt idx="40">
                  <c:v>15.282335293716473</c:v>
                </c:pt>
                <c:pt idx="41">
                  <c:v>14.999763507416541</c:v>
                </c:pt>
                <c:pt idx="42">
                  <c:v>14.664743467738989</c:v>
                </c:pt>
                <c:pt idx="43">
                  <c:v>14.275962576892036</c:v>
                </c:pt>
                <c:pt idx="44">
                  <c:v>13.832042524763908</c:v>
                </c:pt>
                <c:pt idx="45">
                  <c:v>13.331538791126404</c:v>
                </c:pt>
                <c:pt idx="46">
                  <c:v>12.772939856375412</c:v>
                </c:pt>
                <c:pt idx="47">
                  <c:v>12.154666143752562</c:v>
                </c:pt>
                <c:pt idx="48">
                  <c:v>11.475068711909863</c:v>
                </c:pt>
                <c:pt idx="49">
                  <c:v>10.725931773106238</c:v>
                </c:pt>
                <c:pt idx="50">
                  <c:v>9.4227208036704546</c:v>
                </c:pt>
                <c:pt idx="51">
                  <c:v>6.5598636373139492</c:v>
                </c:pt>
                <c:pt idx="52">
                  <c:v>1.2053257577223897</c:v>
                </c:pt>
                <c:pt idx="53">
                  <c:v>-7.6142818150351443</c:v>
                </c:pt>
                <c:pt idx="54">
                  <c:v>-20.953109408785341</c:v>
                </c:pt>
                <c:pt idx="55">
                  <c:v>-39.964131716143648</c:v>
                </c:pt>
                <c:pt idx="56">
                  <c:v>-65.911127349124058</c:v>
                </c:pt>
                <c:pt idx="57">
                  <c:v>-100.17822648818408</c:v>
                </c:pt>
                <c:pt idx="58">
                  <c:v>-144.27832534227613</c:v>
                </c:pt>
                <c:pt idx="59">
                  <c:v>-199.86093086984448</c:v>
                </c:pt>
                <c:pt idx="60">
                  <c:v>-268.71971312357834</c:v>
                </c:pt>
                <c:pt idx="61">
                  <c:v>-352.79991441343276</c:v>
                </c:pt>
                <c:pt idx="62">
                  <c:v>-454.20570100426647</c:v>
                </c:pt>
                <c:pt idx="63">
                  <c:v>-575.2075091527214</c:v>
                </c:pt>
                <c:pt idx="64">
                  <c:v>-718.24941806144477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2-4115-A31B-CD3B0EBFD649}"/>
            </c:ext>
          </c:extLst>
        </c:ser>
        <c:ser>
          <c:idx val="3"/>
          <c:order val="3"/>
          <c:tx>
            <c:v>h=3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'ENecesario(W2)'!$Q$108:$Q$172</c:f>
              <c:numCache>
                <c:formatCode>General</c:formatCode>
                <c:ptCount val="65"/>
                <c:pt idx="0">
                  <c:v>-35.207917510152498</c:v>
                </c:pt>
                <c:pt idx="1">
                  <c:v>-27.013616210149689</c:v>
                </c:pt>
                <c:pt idx="2">
                  <c:v>-21.362256367616553</c:v>
                </c:pt>
                <c:pt idx="3">
                  <c:v>-17.170034254873912</c:v>
                </c:pt>
                <c:pt idx="4">
                  <c:v>-13.894823466120965</c:v>
                </c:pt>
                <c:pt idx="5">
                  <c:v>-11.235321082084591</c:v>
                </c:pt>
                <c:pt idx="6">
                  <c:v>-9.0106855537209718</c:v>
                </c:pt>
                <c:pt idx="7">
                  <c:v>-7.1058149519662939</c:v>
                </c:pt>
                <c:pt idx="8">
                  <c:v>-5.4439789379320525</c:v>
                </c:pt>
                <c:pt idx="9">
                  <c:v>-3.9720774946067521</c:v>
                </c:pt>
                <c:pt idx="10">
                  <c:v>-2.6522141950476463</c:v>
                </c:pt>
                <c:pt idx="11">
                  <c:v>-1.4566379379302816</c:v>
                </c:pt>
                <c:pt idx="12">
                  <c:v>-0.36457990692707715</c:v>
                </c:pt>
                <c:pt idx="13">
                  <c:v>0.63979432418532955</c:v>
                </c:pt>
                <c:pt idx="14">
                  <c:v>1.5687509959978181</c:v>
                </c:pt>
                <c:pt idx="15">
                  <c:v>2.431923676171952</c:v>
                </c:pt>
                <c:pt idx="16">
                  <c:v>3.2369687134419309</c:v>
                </c:pt>
                <c:pt idx="17">
                  <c:v>3.9900339051176492</c:v>
                </c:pt>
                <c:pt idx="18">
                  <c:v>4.6960997493281855</c:v>
                </c:pt>
                <c:pt idx="19">
                  <c:v>5.3592320139457028</c:v>
                </c:pt>
                <c:pt idx="20">
                  <c:v>5.9827714518935915</c:v>
                </c:pt>
                <c:pt idx="21">
                  <c:v>6.5694782332550021</c:v>
                </c:pt>
                <c:pt idx="22">
                  <c:v>7.1216432629815491</c:v>
                </c:pt>
                <c:pt idx="23">
                  <c:v>7.6411749509811271</c:v>
                </c:pt>
                <c:pt idx="24">
                  <c:v>8.1296675564457352</c:v>
                </c:pt>
                <c:pt idx="25">
                  <c:v>8.5884555416209061</c:v>
                </c:pt>
                <c:pt idx="26">
                  <c:v>9.0186571891728224</c:v>
                </c:pt>
                <c:pt idx="27">
                  <c:v>9.4212098988586241</c:v>
                </c:pt>
                <c:pt idx="28">
                  <c:v>9.7968989763450747</c:v>
                </c:pt>
                <c:pt idx="29">
                  <c:v>10.146381288403955</c:v>
                </c:pt>
                <c:pt idx="30">
                  <c:v>10.470204836063974</c:v>
                </c:pt>
                <c:pt idx="31">
                  <c:v>10.768825057509973</c:v>
                </c:pt>
                <c:pt idx="32">
                  <c:v>11.042618492591799</c:v>
                </c:pt>
                <c:pt idx="33">
                  <c:v>11.291894304574138</c:v>
                </c:pt>
                <c:pt idx="34">
                  <c:v>11.516904050736063</c:v>
                </c:pt>
                <c:pt idx="35">
                  <c:v>11.717850013365357</c:v>
                </c:pt>
                <c:pt idx="36">
                  <c:v>11.894892340605075</c:v>
                </c:pt>
                <c:pt idx="37">
                  <c:v>12.048155198118922</c:v>
                </c:pt>
                <c:pt idx="38">
                  <c:v>12.177732094415498</c:v>
                </c:pt>
                <c:pt idx="39">
                  <c:v>12.28369051250171</c:v>
                </c:pt>
                <c:pt idx="40">
                  <c:v>12.366075956518261</c:v>
                </c:pt>
                <c:pt idx="41">
                  <c:v>12.424915502778269</c:v>
                </c:pt>
                <c:pt idx="42">
                  <c:v>12.460220929148223</c:v>
                </c:pt>
                <c:pt idx="43">
                  <c:v>12.471991484178652</c:v>
                </c:pt>
                <c:pt idx="44">
                  <c:v>12.460216347200687</c:v>
                </c:pt>
                <c:pt idx="45">
                  <c:v>12.132829476631027</c:v>
                </c:pt>
                <c:pt idx="46">
                  <c:v>11.738769906962752</c:v>
                </c:pt>
                <c:pt idx="47">
                  <c:v>11.295454052799585</c:v>
                </c:pt>
                <c:pt idx="48">
                  <c:v>10.797874289802831</c:v>
                </c:pt>
                <c:pt idx="49">
                  <c:v>9.8595428493137334</c:v>
                </c:pt>
                <c:pt idx="50">
                  <c:v>7.6244926760454135</c:v>
                </c:pt>
                <c:pt idx="51">
                  <c:v>3.2958691624841241</c:v>
                </c:pt>
                <c:pt idx="52">
                  <c:v>-3.9590985815773365</c:v>
                </c:pt>
                <c:pt idx="53">
                  <c:v>-15.0439343090238</c:v>
                </c:pt>
                <c:pt idx="54">
                  <c:v>-30.948701403050205</c:v>
                </c:pt>
                <c:pt idx="55">
                  <c:v>-52.760477893104103</c:v>
                </c:pt>
                <c:pt idx="56">
                  <c:v>-81.671730352864913</c:v>
                </c:pt>
                <c:pt idx="57">
                  <c:v>-118.9877171823253</c:v>
                </c:pt>
                <c:pt idx="58">
                  <c:v>-166.13340862913134</c:v>
                </c:pt>
                <c:pt idx="59">
                  <c:v>-224.660162331062</c:v>
                </c:pt>
                <c:pt idx="60">
                  <c:v>-296.25228233639922</c:v>
                </c:pt>
                <c:pt idx="61">
                  <c:v>-382.73353487664389</c:v>
                </c:pt>
                <c:pt idx="62">
                  <c:v>-486.07366504338944</c:v>
                </c:pt>
                <c:pt idx="63">
                  <c:v>-608.3949420532764</c:v>
                </c:pt>
                <c:pt idx="64">
                  <c:v>-751.97875101148463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C2-4115-A31B-CD3B0EBFD649}"/>
            </c:ext>
          </c:extLst>
        </c:ser>
        <c:ser>
          <c:idx val="4"/>
          <c:order val="4"/>
          <c:tx>
            <c:v>h=4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'ENecesario(W2)'!$U$108:$U$172</c:f>
              <c:numCache>
                <c:formatCode>General</c:formatCode>
                <c:ptCount val="65"/>
                <c:pt idx="0">
                  <c:v>-42.41781821941494</c:v>
                </c:pt>
                <c:pt idx="1">
                  <c:v>-32.99378871520684</c:v>
                </c:pt>
                <c:pt idx="2">
                  <c:v>-26.557588666106845</c:v>
                </c:pt>
                <c:pt idx="3">
                  <c:v>-21.83371585022973</c:v>
                </c:pt>
                <c:pt idx="4">
                  <c:v>-18.184238402238503</c:v>
                </c:pt>
                <c:pt idx="5">
                  <c:v>-15.254653619963223</c:v>
                </c:pt>
                <c:pt idx="6">
                  <c:v>-12.832214463604711</c:v>
                </c:pt>
                <c:pt idx="7">
                  <c:v>-10.7815228269769</c:v>
                </c:pt>
                <c:pt idx="8">
                  <c:v>-9.0123202447993407</c:v>
                </c:pt>
                <c:pt idx="9">
                  <c:v>-7.4621405810449302</c:v>
                </c:pt>
                <c:pt idx="10">
                  <c:v>-6.0863946632898509</c:v>
                </c:pt>
                <c:pt idx="11">
                  <c:v>-4.8524192125851133</c:v>
                </c:pt>
                <c:pt idx="12">
                  <c:v>-3.7357560709576809</c:v>
                </c:pt>
                <c:pt idx="13">
                  <c:v>-2.717743623821637</c:v>
                </c:pt>
                <c:pt idx="14">
                  <c:v>-1.7839102952710724</c:v>
                </c:pt>
                <c:pt idx="15">
                  <c:v>-0.9228747404076153</c:v>
                </c:pt>
                <c:pt idx="16">
                  <c:v>-0.12557548117413708</c:v>
                </c:pt>
                <c:pt idx="17">
                  <c:v>0.61527976184435051</c:v>
                </c:pt>
                <c:pt idx="18">
                  <c:v>1.3056148944059847</c:v>
                </c:pt>
                <c:pt idx="19">
                  <c:v>1.9502819961051872</c:v>
                </c:pt>
                <c:pt idx="20">
                  <c:v>2.5532839744883269</c:v>
                </c:pt>
                <c:pt idx="21">
                  <c:v>3.1179439921429442</c:v>
                </c:pt>
                <c:pt idx="22">
                  <c:v>3.6470359781021102</c:v>
                </c:pt>
                <c:pt idx="23">
                  <c:v>4.1428862974518532</c:v>
                </c:pt>
                <c:pt idx="24">
                  <c:v>4.6074537770437614</c:v>
                </c:pt>
                <c:pt idx="25">
                  <c:v>5.0423933013536475</c:v>
                </c:pt>
                <c:pt idx="26">
                  <c:v>5.4491068035074246</c:v>
                </c:pt>
                <c:pt idx="27">
                  <c:v>5.828784490497771</c:v>
                </c:pt>
                <c:pt idx="28">
                  <c:v>6.1824384327446928</c:v>
                </c:pt>
                <c:pt idx="29">
                  <c:v>6.5109301324665978</c:v>
                </c:pt>
                <c:pt idx="30">
                  <c:v>6.8149933060342942</c:v>
                </c:pt>
                <c:pt idx="31">
                  <c:v>7.0952528336289449</c:v>
                </c:pt>
                <c:pt idx="32">
                  <c:v>7.3522406180654851</c:v>
                </c:pt>
                <c:pt idx="33">
                  <c:v>7.5864089345606756</c:v>
                </c:pt>
                <c:pt idx="34">
                  <c:v>7.7981417310101522</c:v>
                </c:pt>
                <c:pt idx="35">
                  <c:v>7.9877642442884627</c:v>
                </c:pt>
                <c:pt idx="36">
                  <c:v>8.1555512251650022</c:v>
                </c:pt>
                <c:pt idx="37">
                  <c:v>8.3017340074873687</c:v>
                </c:pt>
                <c:pt idx="38">
                  <c:v>8.4265066125222283</c:v>
                </c:pt>
                <c:pt idx="39">
                  <c:v>8.5300310439304461</c:v>
                </c:pt>
                <c:pt idx="40">
                  <c:v>8.6124419006687596</c:v>
                </c:pt>
                <c:pt idx="41">
                  <c:v>8.6738504125466651</c:v>
                </c:pt>
                <c:pt idx="42">
                  <c:v>8.7143479850075938</c:v>
                </c:pt>
                <c:pt idx="43">
                  <c:v>8.7340093250092252</c:v>
                </c:pt>
                <c:pt idx="44">
                  <c:v>8.7328952079293707</c:v>
                </c:pt>
                <c:pt idx="45">
                  <c:v>8.7110549356627622</c:v>
                </c:pt>
                <c:pt idx="46">
                  <c:v>8.6685285280601612</c:v>
                </c:pt>
                <c:pt idx="47">
                  <c:v>8.6027996352373286</c:v>
                </c:pt>
                <c:pt idx="48">
                  <c:v>8.1983296729706705</c:v>
                </c:pt>
                <c:pt idx="49">
                  <c:v>6.7322007239652892</c:v>
                </c:pt>
                <c:pt idx="50">
                  <c:v>3.52835922030697</c:v>
                </c:pt>
                <c:pt idx="51">
                  <c:v>-2.1212173954494125</c:v>
                </c:pt>
                <c:pt idx="52">
                  <c:v>-11.167145049004853</c:v>
                </c:pt>
                <c:pt idx="53">
                  <c:v>-24.473546501460593</c:v>
                </c:pt>
                <c:pt idx="54">
                  <c:v>-42.799575449875405</c:v>
                </c:pt>
                <c:pt idx="55">
                  <c:v>-67.168673768863755</c:v>
                </c:pt>
                <c:pt idx="56">
                  <c:v>-98.702705573347487</c:v>
                </c:pt>
                <c:pt idx="57">
                  <c:v>-138.62802843494413</c:v>
                </c:pt>
                <c:pt idx="58">
                  <c:v>-188.28136477820362</c:v>
                </c:pt>
                <c:pt idx="59">
                  <c:v>-249.11558129044764</c:v>
                </c:pt>
                <c:pt idx="60">
                  <c:v>-322.70543795287864</c:v>
                </c:pt>
                <c:pt idx="61">
                  <c:v>-410.75334372873294</c:v>
                </c:pt>
                <c:pt idx="62">
                  <c:v>-515.09514207340987</c:v>
                </c:pt>
                <c:pt idx="63">
                  <c:v>-637.70594121231443</c:v>
                </c:pt>
                <c:pt idx="64">
                  <c:v>-780.70599906315658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C2-4115-A31B-CD3B0EBFD649}"/>
            </c:ext>
          </c:extLst>
        </c:ser>
        <c:ser>
          <c:idx val="5"/>
          <c:order val="5"/>
          <c:tx>
            <c:v>h=5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'ENecesario(W2)'!$Y$108:$Y$172</c:f>
              <c:numCache>
                <c:formatCode>General</c:formatCode>
                <c:ptCount val="65"/>
                <c:pt idx="0">
                  <c:v>-51.084808970512761</c:v>
                </c:pt>
                <c:pt idx="1">
                  <c:v>-40.106773910854415</c:v>
                </c:pt>
                <c:pt idx="2">
                  <c:v>-32.66408550985787</c:v>
                </c:pt>
                <c:pt idx="3">
                  <c:v>-27.245705528010859</c:v>
                </c:pt>
                <c:pt idx="4">
                  <c:v>-23.09597082961503</c:v>
                </c:pt>
                <c:pt idx="5">
                  <c:v>-19.794993577111065</c:v>
                </c:pt>
                <c:pt idx="6">
                  <c:v>-17.09080733349947</c:v>
                </c:pt>
                <c:pt idx="7">
                  <c:v>-14.823061879799598</c:v>
                </c:pt>
                <c:pt idx="8">
                  <c:v>-12.884865747374477</c:v>
                </c:pt>
                <c:pt idx="9">
                  <c:v>-11.202236721523189</c:v>
                </c:pt>
                <c:pt idx="10">
                  <c:v>-9.7223571147118992</c:v>
                </c:pt>
                <c:pt idx="11">
                  <c:v>-8.4065254020884836</c:v>
                </c:pt>
                <c:pt idx="12">
                  <c:v>-7.2257498740276169</c:v>
                </c:pt>
                <c:pt idx="13">
                  <c:v>-6.1578966259920884</c:v>
                </c:pt>
                <c:pt idx="14">
                  <c:v>-5.1857875659045556</c:v>
                </c:pt>
                <c:pt idx="15">
                  <c:v>-4.2958985351641648</c:v>
                </c:pt>
                <c:pt idx="16">
                  <c:v>-3.4774475779843632</c:v>
                </c:pt>
                <c:pt idx="17">
                  <c:v>-2.7217433647782405</c:v>
                </c:pt>
                <c:pt idx="18">
                  <c:v>-2.0217110349441509</c:v>
                </c:pt>
                <c:pt idx="19">
                  <c:v>-1.371541493800013</c:v>
                </c:pt>
                <c:pt idx="20">
                  <c:v>-0.76642818110253852</c:v>
                </c:pt>
                <c:pt idx="21">
                  <c:v>-0.2023668387689711</c:v>
                </c:pt>
                <c:pt idx="22">
                  <c:v>0.32399866780095299</c:v>
                </c:pt>
                <c:pt idx="23">
                  <c:v>0.81549640190942119</c:v>
                </c:pt>
                <c:pt idx="24">
                  <c:v>1.2745208024812114</c:v>
                </c:pt>
                <c:pt idx="25">
                  <c:v>1.7031076977222341</c:v>
                </c:pt>
                <c:pt idx="26">
                  <c:v>2.1029944127962543</c:v>
                </c:pt>
                <c:pt idx="27">
                  <c:v>2.4756683313807106</c:v>
                </c:pt>
                <c:pt idx="28">
                  <c:v>2.8224064317261193</c:v>
                </c:pt>
                <c:pt idx="29">
                  <c:v>3.1443077073718126</c:v>
                </c:pt>
                <c:pt idx="30">
                  <c:v>3.4423199337003139</c:v>
                </c:pt>
                <c:pt idx="31">
                  <c:v>3.7172619079181484</c:v>
                </c:pt>
                <c:pt idx="32">
                  <c:v>3.9698420397953531</c:v>
                </c:pt>
                <c:pt idx="33">
                  <c:v>4.2006739810650906</c:v>
                </c:pt>
                <c:pt idx="34">
                  <c:v>4.4102898367800609</c:v>
                </c:pt>
                <c:pt idx="35">
                  <c:v>4.5991513906557522</c:v>
                </c:pt>
                <c:pt idx="36">
                  <c:v>4.7676596901718113</c:v>
                </c:pt>
                <c:pt idx="37">
                  <c:v>4.9161632698564999</c:v>
                </c:pt>
                <c:pt idx="38">
                  <c:v>5.0449652382452133</c:v>
                </c:pt>
                <c:pt idx="39">
                  <c:v>5.1543294121333751</c:v>
                </c:pt>
                <c:pt idx="40">
                  <c:v>5.2444856484232991</c:v>
                </c:pt>
                <c:pt idx="41">
                  <c:v>5.3156344971966352</c:v>
                </c:pt>
                <c:pt idx="42">
                  <c:v>5.3679512781829359</c:v>
                </c:pt>
                <c:pt idx="43">
                  <c:v>5.4015896654341065</c:v>
                </c:pt>
                <c:pt idx="44">
                  <c:v>5.4166848509009498</c:v>
                </c:pt>
                <c:pt idx="45">
                  <c:v>5.4133563460792775</c:v>
                </c:pt>
                <c:pt idx="46">
                  <c:v>5.3894536682537337</c:v>
                </c:pt>
                <c:pt idx="47">
                  <c:v>5.0782869832960102</c:v>
                </c:pt>
                <c:pt idx="48">
                  <c:v>3.871988546400301</c:v>
                </c:pt>
                <c:pt idx="49">
                  <c:v>1.1996233590053349</c:v>
                </c:pt>
                <c:pt idx="50">
                  <c:v>-3.5389754021719195</c:v>
                </c:pt>
                <c:pt idx="51">
                  <c:v>-10.99828926789276</c:v>
                </c:pt>
                <c:pt idx="52">
                  <c:v>-21.898610138418601</c:v>
                </c:pt>
                <c:pt idx="53">
                  <c:v>-37.033794171426038</c:v>
                </c:pt>
                <c:pt idx="54">
                  <c:v>-57.277550275514493</c:v>
                </c:pt>
                <c:pt idx="55">
                  <c:v>-83.58906027241909</c:v>
                </c:pt>
                <c:pt idx="56">
                  <c:v>-117.01827287050567</c:v>
                </c:pt>
                <c:pt idx="57">
                  <c:v>-158.71103845513176</c:v>
                </c:pt>
                <c:pt idx="58">
                  <c:v>-209.91417386853553</c:v>
                </c:pt>
                <c:pt idx="59">
                  <c:v>-272.36495617778502</c:v>
                </c:pt>
                <c:pt idx="60">
                  <c:v>-347.19148228117655</c:v>
                </c:pt>
                <c:pt idx="61">
                  <c:v>-435.95662882593666</c:v>
                </c:pt>
                <c:pt idx="62">
                  <c:v>-540.36337834856067</c:v>
                </c:pt>
                <c:pt idx="63">
                  <c:v>-662.24125971179183</c:v>
                </c:pt>
                <c:pt idx="64">
                  <c:v>-803.55158858593768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C2-4115-A31B-CD3B0EBFD649}"/>
            </c:ext>
          </c:extLst>
        </c:ser>
        <c:ser>
          <c:idx val="6"/>
          <c:order val="6"/>
          <c:tx>
            <c:v>h=6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'ENecesario(W2)'!$AC$108:$AC$172</c:f>
              <c:numCache>
                <c:formatCode>General</c:formatCode>
                <c:ptCount val="65"/>
                <c:pt idx="0">
                  <c:v>-61.653523220953723</c:v>
                </c:pt>
                <c:pt idx="1">
                  <c:v>-48.712328401774663</c:v>
                </c:pt>
                <c:pt idx="2">
                  <c:v>-39.98559933198144</c:v>
                </c:pt>
                <c:pt idx="3">
                  <c:v>-33.670491215019744</c:v>
                </c:pt>
                <c:pt idx="4">
                  <c:v>-28.865468206804941</c:v>
                </c:pt>
                <c:pt idx="5">
                  <c:v>-25.069619425845929</c:v>
                </c:pt>
                <c:pt idx="6">
                  <c:v>-21.982373976625809</c:v>
                </c:pt>
                <c:pt idx="7">
                  <c:v>-19.412455838258893</c:v>
                </c:pt>
                <c:pt idx="8">
                  <c:v>-17.232357329248213</c:v>
                </c:pt>
                <c:pt idx="9">
                  <c:v>-15.353822230810868</c:v>
                </c:pt>
                <c:pt idx="10">
                  <c:v>-13.713834377588698</c:v>
                </c:pt>
                <c:pt idx="11">
                  <c:v>-12.266209559346724</c:v>
                </c:pt>
                <c:pt idx="12">
                  <c:v>-10.976339540312981</c:v>
                </c:pt>
                <c:pt idx="13">
                  <c:v>-9.8177904362754287</c:v>
                </c:pt>
                <c:pt idx="14">
                  <c:v>-8.7700344283480032</c:v>
                </c:pt>
                <c:pt idx="15">
                  <c:v>-7.8168973520546468</c:v>
                </c:pt>
                <c:pt idx="16">
                  <c:v>-6.9454716661857558</c:v>
                </c:pt>
                <c:pt idx="17">
                  <c:v>-6.1453397199319353</c:v>
                </c:pt>
                <c:pt idx="18">
                  <c:v>-5.4080086210900502</c:v>
                </c:pt>
                <c:pt idx="19">
                  <c:v>-4.7264923311788438</c:v>
                </c:pt>
                <c:pt idx="20">
                  <c:v>-4.0949980666815486</c:v>
                </c:pt>
                <c:pt idx="21">
                  <c:v>-3.5086878168234432</c:v>
                </c:pt>
                <c:pt idx="22">
                  <c:v>-2.9634947671055474</c:v>
                </c:pt>
                <c:pt idx="23">
                  <c:v>-2.455980404214912</c:v>
                </c:pt>
                <c:pt idx="24">
                  <c:v>-1.9832221405138026</c:v>
                </c:pt>
                <c:pt idx="25">
                  <c:v>-1.5427240983751844</c:v>
                </c:pt>
                <c:pt idx="26">
                  <c:v>-1.1323456562898908</c:v>
                </c:pt>
                <c:pt idx="27">
                  <c:v>-0.75024375097868778</c:v>
                </c:pt>
                <c:pt idx="28">
                  <c:v>-0.39482593058772342</c:v>
                </c:pt>
                <c:pt idx="29">
                  <c:v>-6.4711882031590104E-2</c:v>
                </c:pt>
                <c:pt idx="30">
                  <c:v>0.24129830909220348</c:v>
                </c:pt>
                <c:pt idx="31">
                  <c:v>0.5242505098365895</c:v>
                </c:pt>
                <c:pt idx="32">
                  <c:v>0.78505854793873941</c:v>
                </c:pt>
                <c:pt idx="33">
                  <c:v>1.0245226961763998</c:v>
                </c:pt>
                <c:pt idx="34">
                  <c:v>1.2433452802921519</c:v>
                </c:pt>
                <c:pt idx="35">
                  <c:v>1.4421439251065047</c:v>
                </c:pt>
                <c:pt idx="36">
                  <c:v>1.6214628506347049</c:v>
                </c:pt>
                <c:pt idx="37">
                  <c:v>1.7817825497645354</c:v>
                </c:pt>
                <c:pt idx="38">
                  <c:v>1.9235281159768094</c:v>
                </c:pt>
                <c:pt idx="39">
                  <c:v>2.0470764397033481</c:v>
                </c:pt>
                <c:pt idx="40">
                  <c:v>2.1527624522223094</c:v>
                </c:pt>
                <c:pt idx="41">
                  <c:v>2.2408845642252269</c:v>
                </c:pt>
                <c:pt idx="42">
                  <c:v>2.3117094206303785</c:v>
                </c:pt>
                <c:pt idx="43">
                  <c:v>2.3654760725439123</c:v>
                </c:pt>
                <c:pt idx="44">
                  <c:v>2.4023996504666765</c:v>
                </c:pt>
                <c:pt idx="45">
                  <c:v>2.4201072223865681</c:v>
                </c:pt>
                <c:pt idx="46">
                  <c:v>2.1858347751503082</c:v>
                </c:pt>
                <c:pt idx="47">
                  <c:v>1.191766823552924</c:v>
                </c:pt>
                <c:pt idx="48">
                  <c:v>-1.041040291793216</c:v>
                </c:pt>
                <c:pt idx="49">
                  <c:v>-5.0187503737627548</c:v>
                </c:pt>
                <c:pt idx="50">
                  <c:v>-11.295109849135027</c:v>
                </c:pt>
                <c:pt idx="51">
                  <c:v>-20.48101667922209</c:v>
                </c:pt>
                <c:pt idx="52">
                  <c:v>-33.251083052211349</c:v>
                </c:pt>
                <c:pt idx="53">
                  <c:v>-50.349019748033029</c:v>
                </c:pt>
                <c:pt idx="54">
                  <c:v>-72.592485496138323</c:v>
                </c:pt>
                <c:pt idx="55">
                  <c:v>-100.87767815787592</c:v>
                </c:pt>
                <c:pt idx="56">
                  <c:v>-136.1838030185155</c:v>
                </c:pt>
                <c:pt idx="57">
                  <c:v>-179.57749044949387</c:v>
                </c:pt>
                <c:pt idx="58">
                  <c:v>-232.21720415671379</c:v>
                </c:pt>
                <c:pt idx="59">
                  <c:v>-295.35766472876037</c:v>
                </c:pt>
                <c:pt idx="60">
                  <c:v>-370.35430388740195</c:v>
                </c:pt>
                <c:pt idx="61">
                  <c:v>-458.66775932929687</c:v>
                </c:pt>
                <c:pt idx="62">
                  <c:v>-561.86841665101974</c:v>
                </c:pt>
                <c:pt idx="63">
                  <c:v>-681.64100268620837</c:v>
                </c:pt>
                <c:pt idx="64">
                  <c:v>-819.80154984104854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C2-4115-A31B-CD3B0EBFD649}"/>
            </c:ext>
          </c:extLst>
        </c:ser>
        <c:ser>
          <c:idx val="7"/>
          <c:order val="7"/>
          <c:tx>
            <c:v>h=7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'ENecesario(W2)'!$AG$108:$AG$172</c:f>
              <c:numCache>
                <c:formatCode>General</c:formatCode>
                <c:ptCount val="65"/>
                <c:pt idx="0">
                  <c:v>-74.717813299780943</c:v>
                </c:pt>
                <c:pt idx="1">
                  <c:v>-59.289222817248302</c:v>
                </c:pt>
                <c:pt idx="2">
                  <c:v>-48.924798557808472</c:v>
                </c:pt>
                <c:pt idx="3">
                  <c:v>-41.456898211266257</c:v>
                </c:pt>
                <c:pt idx="4">
                  <c:v>-35.801612383136899</c:v>
                </c:pt>
                <c:pt idx="5">
                  <c:v>-31.356725644871329</c:v>
                </c:pt>
                <c:pt idx="6">
                  <c:v>-27.760891767078565</c:v>
                </c:pt>
                <c:pt idx="7">
                  <c:v>-24.784162675370698</c:v>
                </c:pt>
                <c:pt idx="8">
                  <c:v>-22.273249708305958</c:v>
                </c:pt>
                <c:pt idx="9">
                  <c:v>-20.12204681274185</c:v>
                </c:pt>
                <c:pt idx="10">
                  <c:v>-18.254785222683672</c:v>
                </c:pt>
                <c:pt idx="11">
                  <c:v>-16.615925248205851</c:v>
                </c:pt>
                <c:pt idx="12">
                  <c:v>-15.163837894910701</c:v>
                </c:pt>
                <c:pt idx="13">
                  <c:v>-13.866715933591443</c:v>
                </c:pt>
                <c:pt idx="14">
                  <c:v>-12.699847507147876</c:v>
                </c:pt>
                <c:pt idx="15">
                  <c:v>-11.643750355115383</c:v>
                </c:pt>
                <c:pt idx="16">
                  <c:v>-10.682865488899125</c:v>
                </c:pt>
                <c:pt idx="17">
                  <c:v>-9.8046238706982027</c:v>
                </c:pt>
                <c:pt idx="18">
                  <c:v>-8.9987674407623484</c:v>
                </c:pt>
                <c:pt idx="19">
                  <c:v>-8.2568471038622366</c:v>
                </c:pt>
                <c:pt idx="20">
                  <c:v>-7.5718460784465291</c:v>
                </c:pt>
                <c:pt idx="21">
                  <c:v>-6.9378935200478304</c:v>
                </c:pt>
                <c:pt idx="22">
                  <c:v>-6.3500441248375177</c:v>
                </c:pt>
                <c:pt idx="23">
                  <c:v>-5.8041066158777985</c:v>
                </c:pt>
                <c:pt idx="24">
                  <c:v>-5.2965088983690807</c:v>
                </c:pt>
                <c:pt idx="25">
                  <c:v>-4.8241910385237468</c:v>
                </c:pt>
                <c:pt idx="26">
                  <c:v>-4.3845195787031797</c:v>
                </c:pt>
                <c:pt idx="27">
                  <c:v>-3.9752183750104257</c:v>
                </c:pt>
                <c:pt idx="28">
                  <c:v>-3.5943123465000477</c:v>
                </c:pt>
                <c:pt idx="29">
                  <c:v>-3.2400814001326541</c:v>
                </c:pt>
                <c:pt idx="30">
                  <c:v>-2.9110224390215049</c:v>
                </c:pt>
                <c:pt idx="31">
                  <c:v>-2.6058178395369751</c:v>
                </c:pt>
                <c:pt idx="32">
                  <c:v>-2.3233091413886209</c:v>
                </c:pt>
                <c:pt idx="33">
                  <c:v>-2.0624749661752269</c:v>
                </c:pt>
                <c:pt idx="34">
                  <c:v>-1.8224123870182762</c:v>
                </c:pt>
                <c:pt idx="35">
                  <c:v>-1.6023211312433501</c:v>
                </c:pt>
                <c:pt idx="36">
                  <c:v>-1.4014901215879951</c:v>
                </c:pt>
                <c:pt idx="37">
                  <c:v>-1.2192859578310415</c:v>
                </c:pt>
                <c:pt idx="38">
                  <c:v>-1.0551430165074274</c:v>
                </c:pt>
                <c:pt idx="39">
                  <c:v>-0.90855490629436031</c:v>
                </c:pt>
                <c:pt idx="40">
                  <c:v>-0.77906706432925221</c:v>
                </c:pt>
                <c:pt idx="41">
                  <c:v>-0.66627031686820037</c:v>
                </c:pt>
                <c:pt idx="42">
                  <c:v>-0.56979525838575285</c:v>
                </c:pt>
                <c:pt idx="43">
                  <c:v>-0.48930732803803784</c:v>
                </c:pt>
                <c:pt idx="44">
                  <c:v>-0.42801755884786835</c:v>
                </c:pt>
                <c:pt idx="45">
                  <c:v>-0.5950438584978831</c:v>
                </c:pt>
                <c:pt idx="46">
                  <c:v>-1.4113015554421702</c:v>
                </c:pt>
                <c:pt idx="47">
                  <c:v>-3.2758461861608841</c:v>
                </c:pt>
                <c:pt idx="48">
                  <c:v>-6.6132947071372934</c:v>
                </c:pt>
                <c:pt idx="49">
                  <c:v>-11.889874349811281</c:v>
                </c:pt>
                <c:pt idx="50">
                  <c:v>-19.621256338264725</c:v>
                </c:pt>
                <c:pt idx="51">
                  <c:v>-30.378049702959704</c:v>
                </c:pt>
                <c:pt idx="52">
                  <c:v>-44.79037372989648</c:v>
                </c:pt>
                <c:pt idx="53">
                  <c:v>-63.552013610164117</c:v>
                </c:pt>
                <c:pt idx="54">
                  <c:v>-87.424377650088218</c:v>
                </c:pt>
                <c:pt idx="55">
                  <c:v>-117.24036310497574</c:v>
                </c:pt>
                <c:pt idx="56">
                  <c:v>-153.90818792688657</c:v>
                </c:pt>
                <c:pt idx="57">
                  <c:v>-198.41522112743587</c:v>
                </c:pt>
                <c:pt idx="58">
                  <c:v>-251.83183135948966</c:v>
                </c:pt>
                <c:pt idx="59">
                  <c:v>-315.3152659211421</c:v>
                </c:pt>
                <c:pt idx="60">
                  <c:v>-390.1135679995491</c:v>
                </c:pt>
                <c:pt idx="61">
                  <c:v>-477.56953726879038</c:v>
                </c:pt>
                <c:pt idx="62">
                  <c:v>-579.12473723399717</c:v>
                </c:pt>
                <c:pt idx="63">
                  <c:v>-696.32355158622022</c:v>
                </c:pt>
                <c:pt idx="64">
                  <c:v>-830.81729107633259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C2-4115-A31B-CD3B0EBF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29952"/>
        <c:axId val="2042332672"/>
      </c:scatterChart>
      <c:valAx>
        <c:axId val="20423299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incidente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32672"/>
        <c:crosses val="autoZero"/>
        <c:crossBetween val="midCat"/>
      </c:valAx>
      <c:valAx>
        <c:axId val="204233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Vs</a:t>
                </a:r>
                <a:r>
                  <a:rPr lang="es-ES" baseline="0"/>
                  <a:t> (m/s)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3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gamma,h=0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'ENecesario(W2)'!$F$108:$F$172</c:f>
              <c:numCache>
                <c:formatCode>General</c:formatCode>
                <c:ptCount val="65"/>
                <c:pt idx="0">
                  <c:v>-44.005816872545417</c:v>
                </c:pt>
                <c:pt idx="1">
                  <c:v>-28.24380433037468</c:v>
                </c:pt>
                <c:pt idx="2">
                  <c:v>-17.00637237200484</c:v>
                </c:pt>
                <c:pt idx="3">
                  <c:v>-9.5170361225807376</c:v>
                </c:pt>
                <c:pt idx="4">
                  <c:v>-4.5193211643806679</c:v>
                </c:pt>
                <c:pt idx="5">
                  <c:v>-1.1027600202051357</c:v>
                </c:pt>
                <c:pt idx="6">
                  <c:v>1.2983448886352498</c:v>
                </c:pt>
                <c:pt idx="7">
                  <c:v>3.028045139601113</c:v>
                </c:pt>
                <c:pt idx="8">
                  <c:v>4.2993712974942699</c:v>
                </c:pt>
                <c:pt idx="9">
                  <c:v>5.2481049519319081</c:v>
                </c:pt>
                <c:pt idx="10">
                  <c:v>5.9634696730144121</c:v>
                </c:pt>
                <c:pt idx="11">
                  <c:v>6.5058063337563219</c:v>
                </c:pt>
                <c:pt idx="12">
                  <c:v>6.9170014866403422</c:v>
                </c:pt>
                <c:pt idx="13">
                  <c:v>7.2268167690363017</c:v>
                </c:pt>
                <c:pt idx="14">
                  <c:v>7.4568408936887263</c:v>
                </c:pt>
                <c:pt idx="15">
                  <c:v>7.6230242414438107</c:v>
                </c:pt>
                <c:pt idx="16">
                  <c:v>7.7373451416444459</c:v>
                </c:pt>
                <c:pt idx="17">
                  <c:v>7.808930366599772</c:v>
                </c:pt>
                <c:pt idx="18">
                  <c:v>7.8448242824432892</c:v>
                </c:pt>
                <c:pt idx="19">
                  <c:v>7.8505268035249411</c:v>
                </c:pt>
                <c:pt idx="20">
                  <c:v>7.8303761149336601</c:v>
                </c:pt>
                <c:pt idx="21">
                  <c:v>7.787825225075375</c:v>
                </c:pt>
                <c:pt idx="22">
                  <c:v>7.7256446632159372</c:v>
                </c:pt>
                <c:pt idx="23">
                  <c:v>7.6460729952601829</c:v>
                </c:pt>
                <c:pt idx="24">
                  <c:v>7.5509299387243338</c:v>
                </c:pt>
                <c:pt idx="25">
                  <c:v>7.4417023142151901</c:v>
                </c:pt>
                <c:pt idx="26">
                  <c:v>7.3196100258528203</c:v>
                </c:pt>
                <c:pt idx="27">
                  <c:v>7.1856571912526199</c:v>
                </c:pt>
                <c:pt idx="28">
                  <c:v>7.0406721118443922</c:v>
                </c:pt>
                <c:pt idx="29">
                  <c:v>6.8853387744165007</c:v>
                </c:pt>
                <c:pt idx="30">
                  <c:v>6.7202218668894744</c:v>
                </c:pt>
                <c:pt idx="31">
                  <c:v>6.5457867843702902</c:v>
                </c:pt>
                <c:pt idx="32">
                  <c:v>6.3624157345527479</c:v>
                </c:pt>
                <c:pt idx="33">
                  <c:v>6.1704207831709175</c:v>
                </c:pt>
                <c:pt idx="34">
                  <c:v>5.9700544821061499</c:v>
                </c:pt>
                <c:pt idx="35">
                  <c:v>5.7615185751933247</c:v>
                </c:pt>
                <c:pt idx="36">
                  <c:v>5.5449711659429539</c:v>
                </c:pt>
                <c:pt idx="37">
                  <c:v>5.320532647490567</c:v>
                </c:pt>
                <c:pt idx="38">
                  <c:v>5.088290631086859</c:v>
                </c:pt>
                <c:pt idx="39">
                  <c:v>4.8483040602836374</c:v>
                </c:pt>
                <c:pt idx="40">
                  <c:v>4.6006066599589586</c:v>
                </c:pt>
                <c:pt idx="41">
                  <c:v>4.3452098397475662</c:v>
                </c:pt>
                <c:pt idx="42">
                  <c:v>4.0821051482925181</c:v>
                </c:pt>
                <c:pt idx="43">
                  <c:v>3.81126635651282</c:v>
                </c:pt>
                <c:pt idx="44">
                  <c:v>3.5326512336662965</c:v>
                </c:pt>
                <c:pt idx="45">
                  <c:v>3.2462030685260341</c:v>
                </c:pt>
                <c:pt idx="46">
                  <c:v>2.9518519788363902</c:v>
                </c:pt>
                <c:pt idx="47">
                  <c:v>2.6495160448750523</c:v>
                </c:pt>
                <c:pt idx="48">
                  <c:v>2.3391022970401951</c:v>
                </c:pt>
                <c:pt idx="49">
                  <c:v>2.0205075826105938</c:v>
                </c:pt>
                <c:pt idx="50">
                  <c:v>1.6936193329621996</c:v>
                </c:pt>
                <c:pt idx="51">
                  <c:v>1.3530066196510742</c:v>
                </c:pt>
                <c:pt idx="52">
                  <c:v>0.83558665337311044</c:v>
                </c:pt>
                <c:pt idx="53">
                  <c:v>-0.12221074001365619</c:v>
                </c:pt>
                <c:pt idx="54">
                  <c:v>-1.7449330788556943</c:v>
                </c:pt>
                <c:pt idx="55">
                  <c:v>-4.2475471997250276</c:v>
                </c:pt>
                <c:pt idx="56">
                  <c:v>-7.8293176592371685</c:v>
                </c:pt>
                <c:pt idx="57">
                  <c:v>-12.641271870424781</c:v>
                </c:pt>
                <c:pt idx="58">
                  <c:v>-18.722420553721093</c:v>
                </c:pt>
                <c:pt idx="59">
                  <c:v>-25.916947649056045</c:v>
                </c:pt>
                <c:pt idx="60">
                  <c:v>-33.826672960165276</c:v>
                </c:pt>
                <c:pt idx="61">
                  <c:v>-41.875034884382082</c:v>
                </c:pt>
                <c:pt idx="62">
                  <c:v>-49.485568394363547</c:v>
                </c:pt>
                <c:pt idx="63">
                  <c:v>-56.257444451758907</c:v>
                </c:pt>
                <c:pt idx="64">
                  <c:v>-62.023642898496909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C-4C85-9B33-97394A46F059}"/>
            </c:ext>
          </c:extLst>
        </c:ser>
        <c:ser>
          <c:idx val="1"/>
          <c:order val="1"/>
          <c:tx>
            <c:v>gamma,h1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'ENecesario(W2)'!$J$108:$J$172</c:f>
              <c:numCache>
                <c:formatCode>General</c:formatCode>
                <c:ptCount val="65"/>
                <c:pt idx="0">
                  <c:v>-50.060240086893316</c:v>
                </c:pt>
                <c:pt idx="1">
                  <c:v>-34.86092096143998</c:v>
                </c:pt>
                <c:pt idx="2">
                  <c:v>-23.143369517547821</c:v>
                </c:pt>
                <c:pt idx="3">
                  <c:v>-14.900896714636362</c:v>
                </c:pt>
                <c:pt idx="4">
                  <c:v>-9.2124327279046678</c:v>
                </c:pt>
                <c:pt idx="5">
                  <c:v>-5.2357346024294031</c:v>
                </c:pt>
                <c:pt idx="6">
                  <c:v>-2.3920050154620829</c:v>
                </c:pt>
                <c:pt idx="7">
                  <c:v>-0.31020232162817674</c:v>
                </c:pt>
                <c:pt idx="8">
                  <c:v>1.2464187033334864</c:v>
                </c:pt>
                <c:pt idx="9">
                  <c:v>2.4315402404330895</c:v>
                </c:pt>
                <c:pt idx="10">
                  <c:v>3.347346105858418</c:v>
                </c:pt>
                <c:pt idx="11">
                  <c:v>4.0634982840656866</c:v>
                </c:pt>
                <c:pt idx="12">
                  <c:v>4.6286332435813122</c:v>
                </c:pt>
                <c:pt idx="13">
                  <c:v>5.0774613360189678</c:v>
                </c:pt>
                <c:pt idx="14">
                  <c:v>5.4352523266135648</c:v>
                </c:pt>
                <c:pt idx="15">
                  <c:v>5.7207363824374813</c:v>
                </c:pt>
                <c:pt idx="16">
                  <c:v>5.9480229228466515</c:v>
                </c:pt>
                <c:pt idx="17">
                  <c:v>6.1278968751032119</c:v>
                </c:pt>
                <c:pt idx="18">
                  <c:v>6.2687116023945153</c:v>
                </c:pt>
                <c:pt idx="19">
                  <c:v>6.3770151505427943</c:v>
                </c:pt>
                <c:pt idx="20">
                  <c:v>6.4579967696317047</c:v>
                </c:pt>
                <c:pt idx="21">
                  <c:v>6.5158101524371723</c:v>
                </c:pt>
                <c:pt idx="22">
                  <c:v>6.5538107115346715</c:v>
                </c:pt>
                <c:pt idx="23">
                  <c:v>6.5747320049390874</c:v>
                </c:pt>
                <c:pt idx="24">
                  <c:v>6.5670516217855148</c:v>
                </c:pt>
                <c:pt idx="25">
                  <c:v>6.5040626227146774</c:v>
                </c:pt>
                <c:pt idx="26">
                  <c:v>6.4275094284126588</c:v>
                </c:pt>
                <c:pt idx="27">
                  <c:v>6.3386129812115168</c:v>
                </c:pt>
                <c:pt idx="28">
                  <c:v>6.2383879914293825</c:v>
                </c:pt>
                <c:pt idx="29">
                  <c:v>6.1276799443415984</c:v>
                </c:pt>
                <c:pt idx="30">
                  <c:v>6.0071945026403819</c:v>
                </c:pt>
                <c:pt idx="31">
                  <c:v>5.8775210320519218</c:v>
                </c:pt>
                <c:pt idx="32">
                  <c:v>5.7391515487797999</c:v>
                </c:pt>
                <c:pt idx="33">
                  <c:v>5.5924960735549174</c:v>
                </c:pt>
                <c:pt idx="34">
                  <c:v>5.4378951452338935</c:v>
                </c:pt>
                <c:pt idx="35">
                  <c:v>5.2756300741262301</c:v>
                </c:pt>
                <c:pt idx="36">
                  <c:v>5.105931385410301</c:v>
                </c:pt>
                <c:pt idx="37">
                  <c:v>4.9289858046723838</c:v>
                </c:pt>
                <c:pt idx="38">
                  <c:v>4.7449420625731591</c:v>
                </c:pt>
                <c:pt idx="39">
                  <c:v>4.5539157379872428</c:v>
                </c:pt>
                <c:pt idx="40">
                  <c:v>4.3559933143551275</c:v>
                </c:pt>
                <c:pt idx="41">
                  <c:v>4.1512355892596169</c:v>
                </c:pt>
                <c:pt idx="42">
                  <c:v>3.9396805500403262</c:v>
                </c:pt>
                <c:pt idx="43">
                  <c:v>3.7213458068379266</c:v>
                </c:pt>
                <c:pt idx="44">
                  <c:v>3.4962306574963877</c:v>
                </c:pt>
                <c:pt idx="45">
                  <c:v>3.2643178452521435</c:v>
                </c:pt>
                <c:pt idx="46">
                  <c:v>3.0255750593453143</c:v>
                </c:pt>
                <c:pt idx="47">
                  <c:v>2.7799562200196744</c:v>
                </c:pt>
                <c:pt idx="48">
                  <c:v>2.5274025823886093</c:v>
                </c:pt>
                <c:pt idx="49">
                  <c:v>2.2678436879877593</c:v>
                </c:pt>
                <c:pt idx="50">
                  <c:v>1.9985196372512826</c:v>
                </c:pt>
                <c:pt idx="51">
                  <c:v>1.5910109723546655</c:v>
                </c:pt>
                <c:pt idx="52">
                  <c:v>0.81264536002794696</c:v>
                </c:pt>
                <c:pt idx="53">
                  <c:v>-0.5352553937102017</c:v>
                </c:pt>
                <c:pt idx="54">
                  <c:v>-2.6449884533113042</c:v>
                </c:pt>
                <c:pt idx="55">
                  <c:v>-5.7023053608872027</c:v>
                </c:pt>
                <c:pt idx="56">
                  <c:v>-9.8669216156853388</c:v>
                </c:pt>
                <c:pt idx="57">
                  <c:v>-15.22856150921592</c:v>
                </c:pt>
                <c:pt idx="58">
                  <c:v>-21.738896499602529</c:v>
                </c:pt>
                <c:pt idx="59">
                  <c:v>-29.146379662103751</c:v>
                </c:pt>
                <c:pt idx="60">
                  <c:v>-36.994800377387868</c:v>
                </c:pt>
                <c:pt idx="61">
                  <c:v>-44.73139592888672</c:v>
                </c:pt>
                <c:pt idx="62">
                  <c:v>-51.877550811370782</c:v>
                </c:pt>
                <c:pt idx="63">
                  <c:v>-58.147000999012242</c:v>
                </c:pt>
                <c:pt idx="64">
                  <c:v>-63.453657248737073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C-4C85-9B33-97394A46F059}"/>
            </c:ext>
          </c:extLst>
        </c:ser>
        <c:ser>
          <c:idx val="2"/>
          <c:order val="2"/>
          <c:tx>
            <c:v>gamma,h2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'ENecesario(W2)'!$N$108:$N$172</c:f>
              <c:numCache>
                <c:formatCode>General</c:formatCode>
                <c:ptCount val="65"/>
                <c:pt idx="0">
                  <c:v>-55.515809784009633</c:v>
                </c:pt>
                <c:pt idx="1">
                  <c:v>-41.20753341481997</c:v>
                </c:pt>
                <c:pt idx="2">
                  <c:v>-29.313942195496558</c:v>
                </c:pt>
                <c:pt idx="3">
                  <c:v>-20.448743280005409</c:v>
                </c:pt>
                <c:pt idx="4">
                  <c:v>-14.096218617658351</c:v>
                </c:pt>
                <c:pt idx="5">
                  <c:v>-9.548718008003414</c:v>
                </c:pt>
                <c:pt idx="6">
                  <c:v>-6.244882095663475</c:v>
                </c:pt>
                <c:pt idx="7">
                  <c:v>-3.7976895517894405</c:v>
                </c:pt>
                <c:pt idx="8">
                  <c:v>-1.9497895224891919</c:v>
                </c:pt>
                <c:pt idx="9">
                  <c:v>-0.5298820273944177</c:v>
                </c:pt>
                <c:pt idx="10">
                  <c:v>0.57777321751369226</c:v>
                </c:pt>
                <c:pt idx="11">
                  <c:v>1.4529319188559091</c:v>
                </c:pt>
                <c:pt idx="12">
                  <c:v>2.1516958835696602</c:v>
                </c:pt>
                <c:pt idx="13">
                  <c:v>2.7143204976977078</c:v>
                </c:pt>
                <c:pt idx="14">
                  <c:v>3.1702316235128798</c:v>
                </c:pt>
                <c:pt idx="15">
                  <c:v>3.5413089163753475</c:v>
                </c:pt>
                <c:pt idx="16">
                  <c:v>3.844076271956018</c:v>
                </c:pt>
                <c:pt idx="17">
                  <c:v>4.0911910162374383</c:v>
                </c:pt>
                <c:pt idx="18">
                  <c:v>4.292474718777787</c:v>
                </c:pt>
                <c:pt idx="19">
                  <c:v>4.4556388670571314</c:v>
                </c:pt>
                <c:pt idx="20">
                  <c:v>4.5868038220919773</c:v>
                </c:pt>
                <c:pt idx="21">
                  <c:v>4.6908753928226297</c:v>
                </c:pt>
                <c:pt idx="22">
                  <c:v>4.771821808267136</c:v>
                </c:pt>
                <c:pt idx="23">
                  <c:v>4.832879995497672</c:v>
                </c:pt>
                <c:pt idx="24">
                  <c:v>4.8767109983956241</c:v>
                </c:pt>
                <c:pt idx="25">
                  <c:v>4.9055183431255456</c:v>
                </c:pt>
                <c:pt idx="26">
                  <c:v>4.9211390897563581</c:v>
                </c:pt>
                <c:pt idx="27">
                  <c:v>4.9251145277016652</c:v>
                </c:pt>
                <c:pt idx="28">
                  <c:v>4.918745544322995</c:v>
                </c:pt>
                <c:pt idx="29">
                  <c:v>4.9031363425120222</c:v>
                </c:pt>
                <c:pt idx="30">
                  <c:v>4.8792292217768303</c:v>
                </c:pt>
                <c:pt idx="31">
                  <c:v>4.8478324470487779</c:v>
                </c:pt>
                <c:pt idx="32">
                  <c:v>4.8096427285266188</c:v>
                </c:pt>
                <c:pt idx="33">
                  <c:v>4.7652634688307822</c:v>
                </c:pt>
                <c:pt idx="34">
                  <c:v>4.7152196622836753</c:v>
                </c:pt>
                <c:pt idx="35">
                  <c:v>4.6599701286066395</c:v>
                </c:pt>
                <c:pt idx="36">
                  <c:v>4.5488966662707702</c:v>
                </c:pt>
                <c:pt idx="37">
                  <c:v>4.4148957042913723</c:v>
                </c:pt>
                <c:pt idx="38">
                  <c:v>4.2742463083182907</c:v>
                </c:pt>
                <c:pt idx="39">
                  <c:v>4.1271256293328253</c:v>
                </c:pt>
                <c:pt idx="40">
                  <c:v>3.9736771807952604</c:v>
                </c:pt>
                <c:pt idx="41">
                  <c:v>3.8140148784148509</c:v>
                </c:pt>
                <c:pt idx="42">
                  <c:v>3.6482264476299231</c:v>
                </c:pt>
                <c:pt idx="43">
                  <c:v>3.476376306144453</c:v>
                </c:pt>
                <c:pt idx="44">
                  <c:v>3.298508008881996</c:v>
                </c:pt>
                <c:pt idx="45">
                  <c:v>3.114646326801207</c:v>
                </c:pt>
                <c:pt idx="46">
                  <c:v>2.9247990182789838</c:v>
                </c:pt>
                <c:pt idx="47">
                  <c:v>2.7289583415265173</c:v>
                </c:pt>
                <c:pt idx="48">
                  <c:v>2.5271023482349024</c:v>
                </c:pt>
                <c:pt idx="49">
                  <c:v>2.3177938000690759</c:v>
                </c:pt>
                <c:pt idx="50">
                  <c:v>1.9987522690872648</c:v>
                </c:pt>
                <c:pt idx="51">
                  <c:v>1.3664772228091686</c:v>
                </c:pt>
                <c:pt idx="52">
                  <c:v>0.24664161529454662</c:v>
                </c:pt>
                <c:pt idx="53">
                  <c:v>-1.5303945830995547</c:v>
                </c:pt>
                <c:pt idx="54">
                  <c:v>-4.1325592976651366</c:v>
                </c:pt>
                <c:pt idx="55">
                  <c:v>-7.7149850137795273</c:v>
                </c:pt>
                <c:pt idx="56">
                  <c:v>-12.391227683457908</c:v>
                </c:pt>
                <c:pt idx="57">
                  <c:v>-18.182931626105706</c:v>
                </c:pt>
                <c:pt idx="58">
                  <c:v>-24.957925683824428</c:v>
                </c:pt>
                <c:pt idx="59">
                  <c:v>-32.394275052017562</c:v>
                </c:pt>
                <c:pt idx="60">
                  <c:v>-40.021829929541077</c:v>
                </c:pt>
                <c:pt idx="61">
                  <c:v>-47.348665844250952</c:v>
                </c:pt>
                <c:pt idx="62">
                  <c:v>-53.999980039752195</c:v>
                </c:pt>
                <c:pt idx="63">
                  <c:v>-59.783541752241767</c:v>
                </c:pt>
                <c:pt idx="64">
                  <c:v>-64.66838147556706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C-4C85-9B33-97394A46F059}"/>
            </c:ext>
          </c:extLst>
        </c:ser>
        <c:ser>
          <c:idx val="3"/>
          <c:order val="3"/>
          <c:tx>
            <c:v>gamma,h3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'ENecesario(W2)'!$R$108:$R$172</c:f>
              <c:numCache>
                <c:formatCode>General</c:formatCode>
                <c:ptCount val="65"/>
                <c:pt idx="0">
                  <c:v>-60.401083747264614</c:v>
                </c:pt>
                <c:pt idx="1">
                  <c:v>-47.21699881887713</c:v>
                </c:pt>
                <c:pt idx="2">
                  <c:v>-35.453725627809789</c:v>
                </c:pt>
                <c:pt idx="3">
                  <c:v>-26.131294701805814</c:v>
                </c:pt>
                <c:pt idx="4">
                  <c:v>-19.155723165145602</c:v>
                </c:pt>
                <c:pt idx="5">
                  <c:v>-14.018651738256777</c:v>
                </c:pt>
                <c:pt idx="6">
                  <c:v>-10.215833743228512</c:v>
                </c:pt>
                <c:pt idx="7">
                  <c:v>-7.3616430617023285</c:v>
                </c:pt>
                <c:pt idx="8">
                  <c:v>-5.184421176039594</c:v>
                </c:pt>
                <c:pt idx="9">
                  <c:v>-3.4969326403782652</c:v>
                </c:pt>
                <c:pt idx="10">
                  <c:v>-2.1698289446466856</c:v>
                </c:pt>
                <c:pt idx="11">
                  <c:v>-1.1126495289895189</c:v>
                </c:pt>
                <c:pt idx="12">
                  <c:v>-0.2611093169196757</c:v>
                </c:pt>
                <c:pt idx="13">
                  <c:v>0.43125673260198932</c:v>
                </c:pt>
                <c:pt idx="14">
                  <c:v>0.99859677739296171</c:v>
                </c:pt>
                <c:pt idx="15">
                  <c:v>1.4664056584658969</c:v>
                </c:pt>
                <c:pt idx="16">
                  <c:v>1.8539990997797808</c:v>
                </c:pt>
                <c:pt idx="17">
                  <c:v>2.1762110249922202</c:v>
                </c:pt>
                <c:pt idx="18">
                  <c:v>2.4445764376670387</c:v>
                </c:pt>
                <c:pt idx="19">
                  <c:v>2.6681685077010511</c:v>
                </c:pt>
                <c:pt idx="20">
                  <c:v>2.8541996554102509</c:v>
                </c:pt>
                <c:pt idx="21">
                  <c:v>3.0084591450038061</c:v>
                </c:pt>
                <c:pt idx="22">
                  <c:v>3.1356357861671906</c:v>
                </c:pt>
                <c:pt idx="23">
                  <c:v>3.2395587904782817</c:v>
                </c:pt>
                <c:pt idx="24">
                  <c:v>3.323379570827818</c:v>
                </c:pt>
                <c:pt idx="25">
                  <c:v>3.3897104095701573</c:v>
                </c:pt>
                <c:pt idx="26">
                  <c:v>3.4407312674773007</c:v>
                </c:pt>
                <c:pt idx="27">
                  <c:v>3.4782728081496095</c:v>
                </c:pt>
                <c:pt idx="28">
                  <c:v>3.5038814880183669</c:v>
                </c:pt>
                <c:pt idx="29">
                  <c:v>3.5188709959261617</c:v>
                </c:pt>
                <c:pt idx="30">
                  <c:v>3.5243632111475951</c:v>
                </c:pt>
                <c:pt idx="31">
                  <c:v>3.5213210462128317</c:v>
                </c:pt>
                <c:pt idx="32">
                  <c:v>3.5105749575177652</c:v>
                </c:pt>
                <c:pt idx="33">
                  <c:v>3.4928444785469885</c:v>
                </c:pt>
                <c:pt idx="34">
                  <c:v>3.4687558134457754</c:v>
                </c:pt>
                <c:pt idx="35">
                  <c:v>3.4388562918241434</c:v>
                </c:pt>
                <c:pt idx="36">
                  <c:v>3.4036263073155233</c:v>
                </c:pt>
                <c:pt idx="37">
                  <c:v>3.3634892270619026</c:v>
                </c:pt>
                <c:pt idx="38">
                  <c:v>3.3188196558323755</c:v>
                </c:pt>
                <c:pt idx="39">
                  <c:v>3.2699503588401955</c:v>
                </c:pt>
                <c:pt idx="40">
                  <c:v>3.2171780856138303</c:v>
                </c:pt>
                <c:pt idx="41">
                  <c:v>3.1607684891604717</c:v>
                </c:pt>
                <c:pt idx="42">
                  <c:v>3.1009602969176839</c:v>
                </c:pt>
                <c:pt idx="43">
                  <c:v>3.0379688602130175</c:v>
                </c:pt>
                <c:pt idx="44">
                  <c:v>2.9719891853334492</c:v>
                </c:pt>
                <c:pt idx="45">
                  <c:v>2.8350713725856673</c:v>
                </c:pt>
                <c:pt idx="46">
                  <c:v>2.6883533075674744</c:v>
                </c:pt>
                <c:pt idx="47">
                  <c:v>2.5363100325349603</c:v>
                </c:pt>
                <c:pt idx="48">
                  <c:v>2.3781434766617222</c:v>
                </c:pt>
                <c:pt idx="49">
                  <c:v>2.1307537589871099</c:v>
                </c:pt>
                <c:pt idx="50">
                  <c:v>1.6175377291825488</c:v>
                </c:pt>
                <c:pt idx="51">
                  <c:v>0.68665582547110848</c:v>
                </c:pt>
                <c:pt idx="52">
                  <c:v>-0.81008758540255632</c:v>
                </c:pt>
                <c:pt idx="53">
                  <c:v>-3.0215954916281378</c:v>
                </c:pt>
                <c:pt idx="54">
                  <c:v>-6.0915302747074529</c:v>
                </c:pt>
                <c:pt idx="55">
                  <c:v>-10.140087433865807</c:v>
                </c:pt>
                <c:pt idx="56">
                  <c:v>-15.229081705132646</c:v>
                </c:pt>
                <c:pt idx="57">
                  <c:v>-21.311933314231688</c:v>
                </c:pt>
                <c:pt idx="58">
                  <c:v>-28.187490348888431</c:v>
                </c:pt>
                <c:pt idx="59">
                  <c:v>-35.496726317467861</c:v>
                </c:pt>
                <c:pt idx="60">
                  <c:v>-42.793158557742608</c:v>
                </c:pt>
                <c:pt idx="61">
                  <c:v>-49.663590759908459</c:v>
                </c:pt>
                <c:pt idx="62">
                  <c:v>-55.82704687201106</c:v>
                </c:pt>
                <c:pt idx="63">
                  <c:v>-61.161537142147566</c:v>
                </c:pt>
                <c:pt idx="64">
                  <c:v>-65.670350615580418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C-4C85-9B33-97394A46F059}"/>
            </c:ext>
          </c:extLst>
        </c:ser>
        <c:ser>
          <c:idx val="4"/>
          <c:order val="4"/>
          <c:tx>
            <c:v>gamma,h4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'ENecesario(W2)'!$V$108:$V$172</c:f>
              <c:numCache>
                <c:formatCode>General</c:formatCode>
                <c:ptCount val="65"/>
                <c:pt idx="0">
                  <c:v>-64.756123860989746</c:v>
                </c:pt>
                <c:pt idx="1">
                  <c:v>-52.848121893476964</c:v>
                </c:pt>
                <c:pt idx="2">
                  <c:v>-41.516955119631568</c:v>
                </c:pt>
                <c:pt idx="3">
                  <c:v>-31.956758378621775</c:v>
                </c:pt>
                <c:pt idx="4">
                  <c:v>-24.446827810525349</c:v>
                </c:pt>
                <c:pt idx="5">
                  <c:v>-18.726263299694079</c:v>
                </c:pt>
                <c:pt idx="6">
                  <c:v>-14.393975766432476</c:v>
                </c:pt>
                <c:pt idx="7">
                  <c:v>-11.090923231498582</c:v>
                </c:pt>
                <c:pt idx="8">
                  <c:v>-8.5422713435595981</c:v>
                </c:pt>
                <c:pt idx="9">
                  <c:v>-6.5490088639241941</c:v>
                </c:pt>
                <c:pt idx="10">
                  <c:v>-4.9692842917091458</c:v>
                </c:pt>
                <c:pt idx="11">
                  <c:v>-3.7018157645358034</c:v>
                </c:pt>
                <c:pt idx="12">
                  <c:v>-2.6735959782626839</c:v>
                </c:pt>
                <c:pt idx="13">
                  <c:v>-1.8313201095487859</c:v>
                </c:pt>
                <c:pt idx="14">
                  <c:v>-1.1355238730988628</c:v>
                </c:pt>
                <c:pt idx="15">
                  <c:v>-0.55658067782474951</c:v>
                </c:pt>
                <c:pt idx="16">
                  <c:v>-7.1949412996548695E-2</c:v>
                </c:pt>
                <c:pt idx="17">
                  <c:v>0.33573838175689402</c:v>
                </c:pt>
                <c:pt idx="18">
                  <c:v>0.68002464138290841</c:v>
                </c:pt>
                <c:pt idx="19">
                  <c:v>0.97158449052489793</c:v>
                </c:pt>
                <c:pt idx="20">
                  <c:v>1.2189193735445945</c:v>
                </c:pt>
                <c:pt idx="21">
                  <c:v>1.4288639639810143</c:v>
                </c:pt>
                <c:pt idx="22">
                  <c:v>1.6069613514000276</c:v>
                </c:pt>
                <c:pt idx="23">
                  <c:v>1.7577439041801308</c:v>
                </c:pt>
                <c:pt idx="24">
                  <c:v>1.8849457846687461</c:v>
                </c:pt>
                <c:pt idx="25">
                  <c:v>1.9916653764089278</c:v>
                </c:pt>
                <c:pt idx="26">
                  <c:v>2.0804906086915933</c:v>
                </c:pt>
                <c:pt idx="27">
                  <c:v>2.1535965165143347</c:v>
                </c:pt>
                <c:pt idx="28">
                  <c:v>2.2128218233009438</c:v>
                </c:pt>
                <c:pt idx="29">
                  <c:v>2.2597295301359108</c:v>
                </c:pt>
                <c:pt idx="30">
                  <c:v>2.2956552064279103</c:v>
                </c:pt>
                <c:pt idx="31">
                  <c:v>2.3217457465740625</c:v>
                </c:pt>
                <c:pt idx="32">
                  <c:v>2.3389906791343011</c:v>
                </c:pt>
                <c:pt idx="33">
                  <c:v>2.3482476162761601</c:v>
                </c:pt>
                <c:pt idx="34">
                  <c:v>2.3502630611782966</c:v>
                </c:pt>
                <c:pt idx="35">
                  <c:v>2.345689514196899</c:v>
                </c:pt>
                <c:pt idx="36">
                  <c:v>2.3350996097939261</c:v>
                </c:pt>
                <c:pt idx="37">
                  <c:v>2.3189978575725219</c:v>
                </c:pt>
                <c:pt idx="38">
                  <c:v>2.2978304393520848</c:v>
                </c:pt>
                <c:pt idx="39">
                  <c:v>2.2719934206659342</c:v>
                </c:pt>
                <c:pt idx="40">
                  <c:v>2.241839662515055</c:v>
                </c:pt>
                <c:pt idx="41">
                  <c:v>2.2076846625975799</c:v>
                </c:pt>
                <c:pt idx="42">
                  <c:v>2.1698115107941756</c:v>
                </c:pt>
                <c:pt idx="43">
                  <c:v>2.1284751086082982</c:v>
                </c:pt>
                <c:pt idx="44">
                  <c:v>2.0839057744171425</c:v>
                </c:pt>
                <c:pt idx="45">
                  <c:v>2.0363123341766438</c:v>
                </c:pt>
                <c:pt idx="46">
                  <c:v>1.9858847794148697</c:v>
                </c:pt>
                <c:pt idx="47">
                  <c:v>1.9322244674273943</c:v>
                </c:pt>
                <c:pt idx="48">
                  <c:v>1.8060542417064447</c:v>
                </c:pt>
                <c:pt idx="49">
                  <c:v>1.4552593925613637</c:v>
                </c:pt>
                <c:pt idx="50">
                  <c:v>0.74869846411336527</c:v>
                </c:pt>
                <c:pt idx="51">
                  <c:v>-0.44194325040598886</c:v>
                </c:pt>
                <c:pt idx="52">
                  <c:v>-2.2838977150738944</c:v>
                </c:pt>
                <c:pt idx="53">
                  <c:v>-4.9080680796689231</c:v>
                </c:pt>
                <c:pt idx="54">
                  <c:v>-8.3953789811103547</c:v>
                </c:pt>
                <c:pt idx="55">
                  <c:v>-12.827020572748827</c:v>
                </c:pt>
                <c:pt idx="56">
                  <c:v>-18.211671809364844</c:v>
                </c:pt>
                <c:pt idx="57">
                  <c:v>-24.442657075716447</c:v>
                </c:pt>
                <c:pt idx="58">
                  <c:v>-31.27278949136387</c:v>
                </c:pt>
                <c:pt idx="59">
                  <c:v>-38.338467194585768</c:v>
                </c:pt>
                <c:pt idx="60">
                  <c:v>-45.241182432454373</c:v>
                </c:pt>
                <c:pt idx="61">
                  <c:v>-51.647929438894238</c:v>
                </c:pt>
                <c:pt idx="62">
                  <c:v>-57.35400538368301</c:v>
                </c:pt>
                <c:pt idx="63">
                  <c:v>-62.286133835298749</c:v>
                </c:pt>
                <c:pt idx="64">
                  <c:v>-66.466718105129189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BC-4C85-9B33-97394A46F059}"/>
            </c:ext>
          </c:extLst>
        </c:ser>
        <c:ser>
          <c:idx val="5"/>
          <c:order val="5"/>
          <c:tx>
            <c:v>gamma,h5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'ENecesario(W2)'!$Z$108:$Z$172</c:f>
              <c:numCache>
                <c:formatCode>General</c:formatCode>
                <c:ptCount val="65"/>
                <c:pt idx="0">
                  <c:v>-68.61936776082122</c:v>
                </c:pt>
                <c:pt idx="1">
                  <c:v>-58.063223206858872</c:v>
                </c:pt>
                <c:pt idx="2">
                  <c:v>-47.434392719963753</c:v>
                </c:pt>
                <c:pt idx="3">
                  <c:v>-37.898928619775063</c:v>
                </c:pt>
                <c:pt idx="4">
                  <c:v>-30.002105641856602</c:v>
                </c:pt>
                <c:pt idx="5">
                  <c:v>-23.744153811720004</c:v>
                </c:pt>
                <c:pt idx="6">
                  <c:v>-18.871256495049465</c:v>
                </c:pt>
                <c:pt idx="7">
                  <c:v>-15.083416101327458</c:v>
                </c:pt>
                <c:pt idx="8">
                  <c:v>-12.120065842379001</c:v>
                </c:pt>
                <c:pt idx="9">
                  <c:v>-9.7784180442311328</c:v>
                </c:pt>
                <c:pt idx="10">
                  <c:v>-7.9072710244004272</c:v>
                </c:pt>
                <c:pt idx="11">
                  <c:v>-6.3954185495912288</c:v>
                </c:pt>
                <c:pt idx="12">
                  <c:v>-5.1610578405467855</c:v>
                </c:pt>
                <c:pt idx="13">
                  <c:v>-4.1436020516223273</c:v>
                </c:pt>
                <c:pt idx="14">
                  <c:v>-3.2977285856604688</c:v>
                </c:pt>
                <c:pt idx="15">
                  <c:v>-2.5891504219295509</c:v>
                </c:pt>
                <c:pt idx="16">
                  <c:v>-1.9916281541614018</c:v>
                </c:pt>
                <c:pt idx="17">
                  <c:v>-1.4848523290601692</c:v>
                </c:pt>
                <c:pt idx="18">
                  <c:v>-1.0529315406143542</c:v>
                </c:pt>
                <c:pt idx="19">
                  <c:v>-0.68330272546202386</c:v>
                </c:pt>
                <c:pt idx="20">
                  <c:v>-0.36593752485950176</c:v>
                </c:pt>
                <c:pt idx="21">
                  <c:v>-9.2758045160934569E-2</c:v>
                </c:pt>
                <c:pt idx="22">
                  <c:v>0.1427978292034901</c:v>
                </c:pt>
                <c:pt idx="23">
                  <c:v>0.34610321274617079</c:v>
                </c:pt>
                <c:pt idx="24">
                  <c:v>0.52159032579739284</c:v>
                </c:pt>
                <c:pt idx="25">
                  <c:v>0.67294066302691091</c:v>
                </c:pt>
                <c:pt idx="26">
                  <c:v>0.80323206978435391</c:v>
                </c:pt>
                <c:pt idx="27">
                  <c:v>0.91505346334304438</c:v>
                </c:pt>
                <c:pt idx="28">
                  <c:v>1.0105950398705048</c:v>
                </c:pt>
                <c:pt idx="29">
                  <c:v>1.0917197468862136</c:v>
                </c:pt>
                <c:pt idx="30">
                  <c:v>1.1600203203160089</c:v>
                </c:pt>
                <c:pt idx="31">
                  <c:v>1.2168651117015299</c:v>
                </c:pt>
                <c:pt idx="32">
                  <c:v>1.2634351457520197</c:v>
                </c:pt>
                <c:pt idx="33">
                  <c:v>1.3007542689061475</c:v>
                </c:pt>
                <c:pt idx="34">
                  <c:v>1.3297138183957766</c:v>
                </c:pt>
                <c:pt idx="35">
                  <c:v>1.351092917945274</c:v>
                </c:pt>
                <c:pt idx="36">
                  <c:v>1.3655752618916341</c:v>
                </c:pt>
                <c:pt idx="37">
                  <c:v>1.373763063522264</c:v>
                </c:pt>
                <c:pt idx="38">
                  <c:v>1.3761887008748037</c:v>
                </c:pt>
                <c:pt idx="39">
                  <c:v>1.3733244832560856</c:v>
                </c:pt>
                <c:pt idx="40">
                  <c:v>1.3655908763363167</c:v>
                </c:pt>
                <c:pt idx="41">
                  <c:v>1.3533634569611721</c:v>
                </c:pt>
                <c:pt idx="42">
                  <c:v>1.3369788164063898</c:v>
                </c:pt>
                <c:pt idx="43">
                  <c:v>1.3167395893844833</c:v>
                </c:pt>
                <c:pt idx="44">
                  <c:v>1.2929187532175681</c:v>
                </c:pt>
                <c:pt idx="45">
                  <c:v>1.2657633153282219</c:v>
                </c:pt>
                <c:pt idx="46">
                  <c:v>1.234980505304146</c:v>
                </c:pt>
                <c:pt idx="47">
                  <c:v>1.1408860973717914</c:v>
                </c:pt>
                <c:pt idx="48">
                  <c:v>0.85320078354567996</c:v>
                </c:pt>
                <c:pt idx="49">
                  <c:v>0.25936938102867879</c:v>
                </c:pt>
                <c:pt idx="50">
                  <c:v>-0.75095090206104043</c:v>
                </c:pt>
                <c:pt idx="51">
                  <c:v>-2.2902541838163821</c:v>
                </c:pt>
                <c:pt idx="52">
                  <c:v>-4.4719610112722021</c:v>
                </c:pt>
                <c:pt idx="53">
                  <c:v>-7.4037082656040702</c:v>
                </c:pt>
                <c:pt idx="54">
                  <c:v>-11.172621197573381</c:v>
                </c:pt>
                <c:pt idx="55">
                  <c:v>-15.82022358778601</c:v>
                </c:pt>
                <c:pt idx="56">
                  <c:v>-21.308812685826855</c:v>
                </c:pt>
                <c:pt idx="57">
                  <c:v>-27.490848520290616</c:v>
                </c:pt>
                <c:pt idx="58">
                  <c:v>-34.10359838570011</c:v>
                </c:pt>
                <c:pt idx="59">
                  <c:v>-40.848354113358546</c:v>
                </c:pt>
                <c:pt idx="60">
                  <c:v>-47.33380595237103</c:v>
                </c:pt>
                <c:pt idx="61">
                  <c:v>-53.295949648402797</c:v>
                </c:pt>
                <c:pt idx="62">
                  <c:v>-58.587581077523275</c:v>
                </c:pt>
                <c:pt idx="63">
                  <c:v>-63.167070235138027</c:v>
                </c:pt>
                <c:pt idx="64">
                  <c:v>-67.065730471868306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BC-4C85-9B33-97394A46F059}"/>
            </c:ext>
          </c:extLst>
        </c:ser>
        <c:ser>
          <c:idx val="6"/>
          <c:order val="6"/>
          <c:tx>
            <c:v>gamma,h6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'ENecesario(W2)'!$AD$108:$AD$171</c:f>
              <c:numCache>
                <c:formatCode>General</c:formatCode>
                <c:ptCount val="64"/>
                <c:pt idx="0">
                  <c:v>-72.027275919846574</c:v>
                </c:pt>
                <c:pt idx="1">
                  <c:v>-62.832329796699938</c:v>
                </c:pt>
                <c:pt idx="2">
                  <c:v>-53.120198902397867</c:v>
                </c:pt>
                <c:pt idx="3">
                  <c:v>-43.890852166071781</c:v>
                </c:pt>
                <c:pt idx="4">
                  <c:v>-35.815599279680924</c:v>
                </c:pt>
                <c:pt idx="5">
                  <c:v>-29.122295634031378</c:v>
                </c:pt>
                <c:pt idx="6">
                  <c:v>-23.732570431652213</c:v>
                </c:pt>
                <c:pt idx="7">
                  <c:v>-19.440675055124096</c:v>
                </c:pt>
                <c:pt idx="8">
                  <c:v>-16.024380818176834</c:v>
                </c:pt>
                <c:pt idx="9">
                  <c:v>-13.290376889119345</c:v>
                </c:pt>
                <c:pt idx="10">
                  <c:v>-11.084535523509791</c:v>
                </c:pt>
                <c:pt idx="11">
                  <c:v>-9.2884592154701835</c:v>
                </c:pt>
                <c:pt idx="12">
                  <c:v>-7.8124447228890253</c:v>
                </c:pt>
                <c:pt idx="13">
                  <c:v>-6.5886619568161837</c:v>
                </c:pt>
                <c:pt idx="14">
                  <c:v>-5.5656056481942668</c:v>
                </c:pt>
                <c:pt idx="15">
                  <c:v>-4.7038792816626298</c:v>
                </c:pt>
                <c:pt idx="16">
                  <c:v>-3.9730816703378093</c:v>
                </c:pt>
                <c:pt idx="17">
                  <c:v>-3.3495316383678406</c:v>
                </c:pt>
                <c:pt idx="18">
                  <c:v>-2.814607117826915</c:v>
                </c:pt>
                <c:pt idx="19">
                  <c:v>-2.3535281168324955</c:v>
                </c:pt>
                <c:pt idx="20">
                  <c:v>-1.9544591228965995</c:v>
                </c:pt>
                <c:pt idx="21">
                  <c:v>-1.6078418457078463</c:v>
                </c:pt>
                <c:pt idx="22">
                  <c:v>-1.3058949211903581</c:v>
                </c:pt>
                <c:pt idx="23">
                  <c:v>-1.0422354861873495</c:v>
                </c:pt>
                <c:pt idx="24">
                  <c:v>-0.81159041858452363</c:v>
                </c:pt>
                <c:pt idx="25">
                  <c:v>-0.60957410174435966</c:v>
                </c:pt>
                <c:pt idx="26">
                  <c:v>-0.43251596457019287</c:v>
                </c:pt>
                <c:pt idx="27">
                  <c:v>-0.27732557965583043</c:v>
                </c:pt>
                <c:pt idx="28">
                  <c:v>-0.14138633467281506</c:v>
                </c:pt>
                <c:pt idx="29">
                  <c:v>-2.2471015361558069E-2</c:v>
                </c:pt>
                <c:pt idx="30">
                  <c:v>8.1325678999822806E-2</c:v>
                </c:pt>
                <c:pt idx="31">
                  <c:v>0.17164143866732257</c:v>
                </c:pt>
                <c:pt idx="32">
                  <c:v>0.24989031256825267</c:v>
                </c:pt>
                <c:pt idx="33">
                  <c:v>0.31729852118180102</c:v>
                </c:pt>
                <c:pt idx="34">
                  <c:v>0.37493379044753622</c:v>
                </c:pt>
                <c:pt idx="35">
                  <c:v>0.4237295074215543</c:v>
                </c:pt>
                <c:pt idx="36">
                  <c:v>0.46450471299858953</c:v>
                </c:pt>
                <c:pt idx="37">
                  <c:v>0.49798072922158659</c:v>
                </c:pt>
                <c:pt idx="38">
                  <c:v>0.52479505139278348</c:v>
                </c:pt>
                <c:pt idx="39">
                  <c:v>0.54551300585932139</c:v>
                </c:pt>
                <c:pt idx="40">
                  <c:v>0.56063757374418044</c:v>
                </c:pt>
                <c:pt idx="41">
                  <c:v>0.57061770218481256</c:v>
                </c:pt>
                <c:pt idx="42">
                  <c:v>0.57585536271506987</c:v>
                </c:pt>
                <c:pt idx="43">
                  <c:v>0.57671156743919449</c:v>
                </c:pt>
                <c:pt idx="44">
                  <c:v>0.57351151469468886</c:v>
                </c:pt>
                <c:pt idx="45">
                  <c:v>0.5659486535197642</c:v>
                </c:pt>
                <c:pt idx="46">
                  <c:v>0.50094366453348138</c:v>
                </c:pt>
                <c:pt idx="47">
                  <c:v>0.26777534118151058</c:v>
                </c:pt>
                <c:pt idx="48">
                  <c:v>-0.22941113950258168</c:v>
                </c:pt>
                <c:pt idx="49">
                  <c:v>-1.0849767660062617</c:v>
                </c:pt>
                <c:pt idx="50">
                  <c:v>-2.3954999808814255</c:v>
                </c:pt>
                <c:pt idx="51">
                  <c:v>-4.2593212867678778</c:v>
                </c:pt>
                <c:pt idx="52">
                  <c:v>-6.7723785068216609</c:v>
                </c:pt>
                <c:pt idx="53">
                  <c:v>-10.018683503022119</c:v>
                </c:pt>
                <c:pt idx="54">
                  <c:v>-14.053439835738683</c:v>
                </c:pt>
                <c:pt idx="55">
                  <c:v>-18.878545357783345</c:v>
                </c:pt>
                <c:pt idx="56">
                  <c:v>-24.415483817092706</c:v>
                </c:pt>
                <c:pt idx="57">
                  <c:v>-30.488668648524285</c:v>
                </c:pt>
                <c:pt idx="58">
                  <c:v>-36.836431623690764</c:v>
                </c:pt>
                <c:pt idx="59">
                  <c:v>-43.156761685192066</c:v>
                </c:pt>
                <c:pt idx="60">
                  <c:v>-49.171754875246229</c:v>
                </c:pt>
                <c:pt idx="61">
                  <c:v>-54.679609507252351</c:v>
                </c:pt>
                <c:pt idx="62">
                  <c:v>-59.573170859120729</c:v>
                </c:pt>
                <c:pt idx="63">
                  <c:v>-63.827680934158423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C-4C85-9B33-97394A46F059}"/>
            </c:ext>
          </c:extLst>
        </c:ser>
        <c:ser>
          <c:idx val="7"/>
          <c:order val="7"/>
          <c:tx>
            <c:v>gamma,h7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'ENecesario(W2)'!$A$108:$A$172</c:f>
              <c:numCache>
                <c:formatCode>General</c:formatCode>
                <c:ptCount val="6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</c:numCache>
            </c:numRef>
          </c:xVal>
          <c:yVal>
            <c:numRef>
              <c:f>'ENecesario(W2)'!$AH$108:$AH$172</c:f>
              <c:numCache>
                <c:formatCode>General</c:formatCode>
                <c:ptCount val="65"/>
                <c:pt idx="0">
                  <c:v>-75.014723581863919</c:v>
                </c:pt>
                <c:pt idx="1">
                  <c:v>-67.136705790290051</c:v>
                </c:pt>
                <c:pt idx="2">
                  <c:v>-58.483958532242518</c:v>
                </c:pt>
                <c:pt idx="3">
                  <c:v>-49.827259035203461</c:v>
                </c:pt>
                <c:pt idx="4">
                  <c:v>-41.829825121512172</c:v>
                </c:pt>
                <c:pt idx="5">
                  <c:v>-34.869405722993804</c:v>
                </c:pt>
                <c:pt idx="6">
                  <c:v>-29.039815702031444</c:v>
                </c:pt>
                <c:pt idx="7">
                  <c:v>-24.257334009220514</c:v>
                </c:pt>
                <c:pt idx="8">
                  <c:v>-20.365974731742373</c:v>
                </c:pt>
                <c:pt idx="9">
                  <c:v>-17.200953761919472</c:v>
                </c:pt>
                <c:pt idx="10">
                  <c:v>-14.61621110377245</c:v>
                </c:pt>
                <c:pt idx="11">
                  <c:v>-12.491863001745102</c:v>
                </c:pt>
                <c:pt idx="12">
                  <c:v>-10.732968202775796</c:v>
                </c:pt>
                <c:pt idx="13">
                  <c:v>-9.2654876743399583</c:v>
                </c:pt>
                <c:pt idx="14">
                  <c:v>-8.0319438492692843</c:v>
                </c:pt>
                <c:pt idx="15">
                  <c:v>-6.987651371615577</c:v>
                </c:pt>
                <c:pt idx="16">
                  <c:v>-6.0977048268818947</c:v>
                </c:pt>
                <c:pt idx="17">
                  <c:v>-5.3346602084796739</c:v>
                </c:pt>
                <c:pt idx="18">
                  <c:v>-4.6767801234143009</c:v>
                </c:pt>
                <c:pt idx="19">
                  <c:v>-4.1067136969565379</c:v>
                </c:pt>
                <c:pt idx="20">
                  <c:v>-3.6105035943904737</c:v>
                </c:pt>
                <c:pt idx="21">
                  <c:v>-3.1768366277658102</c:v>
                </c:pt>
                <c:pt idx="22">
                  <c:v>-2.7964752104009718</c:v>
                </c:pt>
                <c:pt idx="23">
                  <c:v>-2.4618232652614589</c:v>
                </c:pt>
                <c:pt idx="24">
                  <c:v>-2.1665924877546976</c:v>
                </c:pt>
                <c:pt idx="25">
                  <c:v>-1.9055439182735159</c:v>
                </c:pt>
                <c:pt idx="26">
                  <c:v>-1.6742863852165868</c:v>
                </c:pt>
                <c:pt idx="27">
                  <c:v>-1.4691181832313682</c:v>
                </c:pt>
                <c:pt idx="28">
                  <c:v>-1.2869018482582002</c:v>
                </c:pt>
                <c:pt idx="29">
                  <c:v>-1.1249644444407609</c:v>
                </c:pt>
                <c:pt idx="30">
                  <c:v>-0.98101765127833407</c:v>
                </c:pt>
                <c:pt idx="31">
                  <c:v>-0.85309332132378157</c:v>
                </c:pt>
                <c:pt idx="32">
                  <c:v>-0.73949120434566562</c:v>
                </c:pt>
                <c:pt idx="33">
                  <c:v>-0.63873629986374036</c:v>
                </c:pt>
                <c:pt idx="34">
                  <c:v>-0.54954387574052588</c:v>
                </c:pt>
                <c:pt idx="35">
                  <c:v>-0.47079062609352934</c:v>
                </c:pt>
                <c:pt idx="36">
                  <c:v>-0.40149077341769718</c:v>
                </c:pt>
                <c:pt idx="37">
                  <c:v>-0.34077617386547654</c:v>
                </c:pt>
                <c:pt idx="38">
                  <c:v>-0.28787968045353507</c:v>
                </c:pt>
                <c:pt idx="39">
                  <c:v>-0.24212117079530229</c:v>
                </c:pt>
                <c:pt idx="40">
                  <c:v>-0.20289576435670265</c:v>
                </c:pt>
                <c:pt idx="41">
                  <c:v>-0.16966384707388568</c:v>
                </c:pt>
                <c:pt idx="42">
                  <c:v>-0.14194259436407655</c:v>
                </c:pt>
                <c:pt idx="43">
                  <c:v>-0.11929874156160643</c:v>
                </c:pt>
                <c:pt idx="44">
                  <c:v>-0.10218155700043881</c:v>
                </c:pt>
                <c:pt idx="45">
                  <c:v>-0.13915687624532017</c:v>
                </c:pt>
                <c:pt idx="46">
                  <c:v>-0.32344305515168731</c:v>
                </c:pt>
                <c:pt idx="47">
                  <c:v>-0.7360072030923428</c:v>
                </c:pt>
                <c:pt idx="48">
                  <c:v>-1.4570468879756968</c:v>
                </c:pt>
                <c:pt idx="49">
                  <c:v>-2.5689925990540345</c:v>
                </c:pt>
                <c:pt idx="50">
                  <c:v>-4.1564532800236949</c:v>
                </c:pt>
                <c:pt idx="51">
                  <c:v>-6.3036571345610541</c:v>
                </c:pt>
                <c:pt idx="52">
                  <c:v>-9.0883562764351993</c:v>
                </c:pt>
                <c:pt idx="53">
                  <c:v>-12.5706950549214</c:v>
                </c:pt>
                <c:pt idx="54">
                  <c:v>-16.77613523186319</c:v>
                </c:pt>
                <c:pt idx="55">
                  <c:v>-21.6741079152936</c:v>
                </c:pt>
                <c:pt idx="56">
                  <c:v>-27.159061574098857</c:v>
                </c:pt>
                <c:pt idx="57">
                  <c:v>-33.04568121837508</c:v>
                </c:pt>
                <c:pt idx="58">
                  <c:v>-39.089052596535744</c:v>
                </c:pt>
                <c:pt idx="59">
                  <c:v>-45.028657730783394</c:v>
                </c:pt>
                <c:pt idx="60">
                  <c:v>-50.638862982118908</c:v>
                </c:pt>
                <c:pt idx="61">
                  <c:v>-55.763570535671043</c:v>
                </c:pt>
                <c:pt idx="62">
                  <c:v>-60.324409911212378</c:v>
                </c:pt>
                <c:pt idx="63">
                  <c:v>-64.307876926517949</c:v>
                </c:pt>
                <c:pt idx="64">
                  <c:v>-67.743875772456207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BC-4C85-9B33-97394A46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26816"/>
        <c:axId val="1841938784"/>
      </c:scatterChart>
      <c:valAx>
        <c:axId val="18419268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incidente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1938784"/>
        <c:crosses val="autoZero"/>
        <c:crossBetween val="midCat"/>
      </c:valAx>
      <c:valAx>
        <c:axId val="184193878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</a:t>
                </a:r>
                <a:r>
                  <a:rPr lang="es-ES" baseline="0"/>
                  <a:t> de suida (º)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19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25</xdr:row>
      <xdr:rowOff>133350</xdr:rowOff>
    </xdr:from>
    <xdr:to>
      <xdr:col>11</xdr:col>
      <xdr:colOff>523875</xdr:colOff>
      <xdr:row>40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208359</xdr:colOff>
      <xdr:row>4</xdr:row>
      <xdr:rowOff>95250</xdr:rowOff>
    </xdr:from>
    <xdr:to>
      <xdr:col>14</xdr:col>
      <xdr:colOff>321469</xdr:colOff>
      <xdr:row>22</xdr:row>
      <xdr:rowOff>91678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19050</xdr:rowOff>
    </xdr:from>
    <xdr:to>
      <xdr:col>8</xdr:col>
      <xdr:colOff>619125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0.10984</cdr:x>
      <cdr:y>0.08361</cdr:y>
    </cdr:from>
    <cdr:to>
      <cdr:x>0.87447</cdr:x>
      <cdr:y>0.08361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F1B2077-A356-429F-97DF-75B31B9410AE}"/>
            </a:ext>
          </a:extLst>
        </cdr:cNvPr>
        <cdr:cNvCxnSpPr/>
      </cdr:nvCxnSpPr>
      <cdr:spPr>
        <a:xfrm xmlns:a="http://schemas.openxmlformats.org/drawingml/2006/main" flipV="1">
          <a:off x="642383" y="258825"/>
          <a:ext cx="4471824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50800" dist="38100" dir="16200000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21</xdr:row>
      <xdr:rowOff>130627</xdr:rowOff>
    </xdr:from>
    <xdr:to>
      <xdr:col>24</xdr:col>
      <xdr:colOff>348344</xdr:colOff>
      <xdr:row>44</xdr:row>
      <xdr:rowOff>130628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489858</xdr:colOff>
      <xdr:row>21</xdr:row>
      <xdr:rowOff>152400</xdr:rowOff>
    </xdr:from>
    <xdr:to>
      <xdr:col>35</xdr:col>
      <xdr:colOff>707571</xdr:colOff>
      <xdr:row>44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728940</xdr:colOff>
      <xdr:row>15</xdr:row>
      <xdr:rowOff>166106</xdr:rowOff>
    </xdr:from>
    <xdr:to>
      <xdr:col>7</xdr:col>
      <xdr:colOff>857249</xdr:colOff>
      <xdr:row>37</xdr:row>
      <xdr:rowOff>96479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933450</xdr:colOff>
      <xdr:row>16</xdr:row>
      <xdr:rowOff>0</xdr:rowOff>
    </xdr:from>
    <xdr:to>
      <xdr:col>13</xdr:col>
      <xdr:colOff>495300</xdr:colOff>
      <xdr:row>33</xdr:row>
      <xdr:rowOff>57375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778200</xdr:colOff>
      <xdr:row>85</xdr:row>
      <xdr:rowOff>65539</xdr:rowOff>
    </xdr:from>
    <xdr:to>
      <xdr:col>30</xdr:col>
      <xdr:colOff>315686</xdr:colOff>
      <xdr:row>110</xdr:row>
      <xdr:rowOff>174171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205218</xdr:colOff>
      <xdr:row>87</xdr:row>
      <xdr:rowOff>66674</xdr:rowOff>
    </xdr:from>
    <xdr:to>
      <xdr:col>14</xdr:col>
      <xdr:colOff>272142</xdr:colOff>
      <xdr:row>112</xdr:row>
      <xdr:rowOff>185057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334734</xdr:colOff>
      <xdr:row>86</xdr:row>
      <xdr:rowOff>121101</xdr:rowOff>
    </xdr:from>
    <xdr:to>
      <xdr:col>17</xdr:col>
      <xdr:colOff>402771</xdr:colOff>
      <xdr:row>112</xdr:row>
      <xdr:rowOff>46808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841742</xdr:colOff>
      <xdr:row>73</xdr:row>
      <xdr:rowOff>96582</xdr:rowOff>
    </xdr:from>
    <xdr:to>
      <xdr:col>15</xdr:col>
      <xdr:colOff>67396</xdr:colOff>
      <xdr:row>101</xdr:row>
      <xdr:rowOff>127266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398318</xdr:colOff>
      <xdr:row>181</xdr:row>
      <xdr:rowOff>173181</xdr:rowOff>
    </xdr:from>
    <xdr:to>
      <xdr:col>20</xdr:col>
      <xdr:colOff>467590</xdr:colOff>
      <xdr:row>222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185</xdr:row>
      <xdr:rowOff>0</xdr:rowOff>
    </xdr:from>
    <xdr:to>
      <xdr:col>34</xdr:col>
      <xdr:colOff>666750</xdr:colOff>
      <xdr:row>212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174</xdr:row>
      <xdr:rowOff>149679</xdr:rowOff>
    </xdr:from>
    <xdr:to>
      <xdr:col>16</xdr:col>
      <xdr:colOff>204107</xdr:colOff>
      <xdr:row>194</xdr:row>
      <xdr:rowOff>27215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89</xdr:row>
      <xdr:rowOff>15875</xdr:rowOff>
    </xdr:from>
    <xdr:to>
      <xdr:col>18</xdr:col>
      <xdr:colOff>381000</xdr:colOff>
      <xdr:row>103</xdr:row>
      <xdr:rowOff>92075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401409</xdr:colOff>
      <xdr:row>74</xdr:row>
      <xdr:rowOff>91166</xdr:rowOff>
    </xdr:from>
    <xdr:to>
      <xdr:col>18</xdr:col>
      <xdr:colOff>108857</xdr:colOff>
      <xdr:row>98</xdr:row>
      <xdr:rowOff>54428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107</xdr:row>
      <xdr:rowOff>15478</xdr:rowOff>
    </xdr:from>
    <xdr:to>
      <xdr:col>13</xdr:col>
      <xdr:colOff>238125</xdr:colOff>
      <xdr:row>121</xdr:row>
      <xdr:rowOff>91678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10</xdr:row>
      <xdr:rowOff>57150</xdr:rowOff>
    </xdr:from>
    <xdr:to>
      <xdr:col>6</xdr:col>
      <xdr:colOff>752475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10</xdr:row>
      <xdr:rowOff>76200</xdr:rowOff>
    </xdr:from>
    <xdr:to>
      <xdr:col>15</xdr:col>
      <xdr:colOff>600075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571499</xdr:colOff>
      <xdr:row>10</xdr:row>
      <xdr:rowOff>47626</xdr:rowOff>
    </xdr:from>
    <xdr:to>
      <xdr:col>24</xdr:col>
      <xdr:colOff>171450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304799</xdr:colOff>
      <xdr:row>26</xdr:row>
      <xdr:rowOff>66674</xdr:rowOff>
    </xdr:from>
    <xdr:to>
      <xdr:col>10</xdr:col>
      <xdr:colOff>561975</xdr:colOff>
      <xdr:row>50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761999</xdr:colOff>
      <xdr:row>26</xdr:row>
      <xdr:rowOff>47625</xdr:rowOff>
    </xdr:from>
    <xdr:to>
      <xdr:col>19</xdr:col>
      <xdr:colOff>171449</xdr:colOff>
      <xdr:row>50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142874</xdr:colOff>
      <xdr:row>26</xdr:row>
      <xdr:rowOff>28574</xdr:rowOff>
    </xdr:from>
    <xdr:to>
      <xdr:col>29</xdr:col>
      <xdr:colOff>323849</xdr:colOff>
      <xdr:row>50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0.4208</cdr:x>
      <cdr:y>0.97659</cdr:y>
    </cdr:from>
    <cdr:to>
      <cdr:x>0.63015</cdr:x>
      <cdr:y>0.99232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7A5FBD7-2A06-4EA0-8EF5-E12C05AF55A7}"/>
            </a:ext>
          </a:extLst>
        </cdr:cNvPr>
        <cdr:cNvSpPr txBox="1"/>
      </cdr:nvSpPr>
      <cdr:spPr>
        <a:xfrm xmlns:a="http://schemas.openxmlformats.org/drawingml/2006/main">
          <a:off x="1641022" y="2838450"/>
          <a:ext cx="81642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ownloads/datos%20dc10V19%20auto%20y%20alc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ownloads/Alcance%20y%20Autonom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/Downloads/datos%20dc10V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aracterísticas Aerodinámicas"/>
      <sheetName val="POLAR"/>
      <sheetName val="EDisponible"/>
      <sheetName val="ENecesario(W1)"/>
      <sheetName val="ENecesario(W2)"/>
      <sheetName val="ENecesario(W3)"/>
      <sheetName val="Envolvente "/>
      <sheetName val="Empujes(W1)"/>
      <sheetName val="Empujes(W2)"/>
      <sheetName val="Empujes(W3)"/>
      <sheetName val="Altura-Vs"/>
      <sheetName val="Tiempo de subida mínimo"/>
    </sheetNames>
    <sheetDataSet>
      <sheetData sheetId="0">
        <row r="6">
          <cell r="J6">
            <v>358.7</v>
          </cell>
        </row>
      </sheetData>
      <sheetData sheetId="1" refreshError="1"/>
      <sheetData sheetId="2">
        <row r="25">
          <cell r="A25">
            <v>0.15438737380937456</v>
          </cell>
          <cell r="B25">
            <v>1.5</v>
          </cell>
        </row>
      </sheetData>
      <sheetData sheetId="3">
        <row r="14">
          <cell r="B14">
            <v>0.39009899471001425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mpuj"/>
      <sheetName val="AUTONOMIA Y ALCANCE"/>
      <sheetName val="emp nec"/>
      <sheetName val="POLAR"/>
    </sheetNames>
    <sheetDataSet>
      <sheetData sheetId="0"/>
      <sheetData sheetId="1"/>
      <sheetData sheetId="2"/>
      <sheetData sheetId="3"/>
      <sheetData sheetId="4">
        <row r="25">
          <cell r="A25">
            <v>0.15438737380937459</v>
          </cell>
          <cell r="B25">
            <v>1.5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arrera despuegue"/>
      <sheetName val="Viraje horizontal"/>
      <sheetName val="Características Aerodinámicas"/>
      <sheetName val="POLAR"/>
      <sheetName val="EDisponible"/>
      <sheetName val="ENecesario(W1)"/>
      <sheetName val="ENecesario(W2)"/>
      <sheetName val="ENecesario(W3)"/>
      <sheetName val="Envolvente "/>
      <sheetName val="Empujes(W1)"/>
      <sheetName val="Empujes(W2)"/>
      <sheetName val="Empujes(W3)"/>
      <sheetName val="AutonomiaAlcance"/>
      <sheetName val="Altura-Vs"/>
      <sheetName val="Tiempo de subida mínimo"/>
    </sheetNames>
    <sheetDataSet>
      <sheetData sheetId="0">
        <row r="5">
          <cell r="B5">
            <v>358.7</v>
          </cell>
        </row>
        <row r="6">
          <cell r="B6">
            <v>6.2477713967103439</v>
          </cell>
        </row>
        <row r="17">
          <cell r="J17">
            <v>1.3125589999999999E-2</v>
          </cell>
        </row>
      </sheetData>
      <sheetData sheetId="1">
        <row r="3">
          <cell r="E3">
            <v>0.81100000000000005</v>
          </cell>
        </row>
        <row r="4">
          <cell r="E4">
            <v>0.1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4"/>
  <sheetViews>
    <sheetView zoomScaleNormal="100" workbookViewId="0">
      <selection activeCell="F15" sqref="F15"/>
    </sheetView>
  </sheetViews>
  <sheetFormatPr baseColWidth="10" defaultColWidth="14.42578125" defaultRowHeight="15" customHeight="1"/>
  <cols>
    <col min="1" max="1" width="26.7109375" customWidth="1"/>
    <col min="2" max="26" width="10.7109375" customWidth="1"/>
  </cols>
  <sheetData>
    <row r="2" spans="1:18" ht="20.25">
      <c r="E2" t="s">
        <v>0</v>
      </c>
      <c r="H2" s="1" t="s">
        <v>1</v>
      </c>
      <c r="R2" s="2" t="s">
        <v>2</v>
      </c>
    </row>
    <row r="3" spans="1:18">
      <c r="A3" t="s">
        <v>3</v>
      </c>
    </row>
    <row r="4" spans="1:18">
      <c r="A4" t="s">
        <v>4</v>
      </c>
      <c r="B4">
        <v>47.34</v>
      </c>
      <c r="G4" s="3"/>
      <c r="H4" s="4"/>
      <c r="O4" s="5"/>
      <c r="P4" s="6" t="s">
        <v>5</v>
      </c>
      <c r="Q4" s="183" t="s">
        <v>6</v>
      </c>
      <c r="R4" s="184"/>
    </row>
    <row r="5" spans="1:18">
      <c r="A5" t="s">
        <v>7</v>
      </c>
      <c r="B5">
        <v>358.7</v>
      </c>
      <c r="G5" s="4"/>
      <c r="H5" s="4"/>
      <c r="I5" s="185" t="s">
        <v>8</v>
      </c>
      <c r="J5" s="174"/>
      <c r="L5" s="186" t="s">
        <v>9</v>
      </c>
      <c r="M5" s="181"/>
      <c r="N5" s="7"/>
      <c r="O5" s="187"/>
      <c r="P5" s="174"/>
      <c r="R5" s="8"/>
    </row>
    <row r="6" spans="1:18">
      <c r="A6" t="s">
        <v>10</v>
      </c>
      <c r="B6">
        <f>B4^2/B5</f>
        <v>6.2477713967103439</v>
      </c>
      <c r="E6">
        <v>6.8</v>
      </c>
      <c r="G6" s="4"/>
      <c r="H6" s="4"/>
      <c r="I6" s="9" t="s">
        <v>11</v>
      </c>
      <c r="J6" s="10">
        <v>358.7</v>
      </c>
      <c r="K6" s="11"/>
      <c r="L6" s="9" t="s">
        <v>12</v>
      </c>
      <c r="M6" s="10">
        <v>195045</v>
      </c>
      <c r="N6" s="11"/>
      <c r="O6" s="12"/>
      <c r="P6" s="13"/>
      <c r="R6" s="11"/>
    </row>
    <row r="7" spans="1:18">
      <c r="A7" t="s">
        <v>13</v>
      </c>
      <c r="G7" s="4"/>
      <c r="H7" s="4"/>
      <c r="I7" s="14" t="s">
        <v>14</v>
      </c>
      <c r="J7" s="15">
        <v>47.34</v>
      </c>
      <c r="K7" s="11"/>
      <c r="L7" s="14" t="s">
        <v>15</v>
      </c>
      <c r="M7" s="15">
        <v>105142</v>
      </c>
      <c r="N7" s="11"/>
      <c r="O7" s="16"/>
      <c r="P7" s="17"/>
      <c r="R7" s="11"/>
    </row>
    <row r="8" spans="1:18">
      <c r="A8" t="s">
        <v>16</v>
      </c>
      <c r="B8">
        <v>10.71</v>
      </c>
      <c r="G8" s="4"/>
      <c r="H8" s="4"/>
      <c r="I8" s="18" t="s">
        <v>17</v>
      </c>
      <c r="J8" s="19">
        <v>6.25</v>
      </c>
      <c r="K8" s="11"/>
      <c r="L8" s="14" t="s">
        <v>18</v>
      </c>
      <c r="M8" s="15">
        <v>46820</v>
      </c>
      <c r="N8" s="11"/>
      <c r="O8" s="16"/>
      <c r="P8" s="17"/>
      <c r="R8" s="11"/>
    </row>
    <row r="9" spans="1:18">
      <c r="A9" t="s">
        <v>19</v>
      </c>
      <c r="B9">
        <v>2.92</v>
      </c>
      <c r="G9" s="4"/>
      <c r="H9" s="4"/>
      <c r="I9" s="18" t="s">
        <v>20</v>
      </c>
      <c r="J9" s="15">
        <v>0.22600000000000001</v>
      </c>
      <c r="K9" s="11"/>
      <c r="L9" s="20" t="s">
        <v>21</v>
      </c>
      <c r="M9" s="21">
        <v>151953</v>
      </c>
      <c r="N9" s="11"/>
      <c r="O9" s="16"/>
      <c r="P9" s="17"/>
      <c r="R9" s="11"/>
    </row>
    <row r="10" spans="1:18">
      <c r="A10" t="s">
        <v>22</v>
      </c>
      <c r="B10">
        <f>(B8+B9)/2</f>
        <v>6.8150000000000004</v>
      </c>
      <c r="G10" s="4"/>
      <c r="H10" s="4"/>
      <c r="I10" s="22" t="s">
        <v>23</v>
      </c>
      <c r="J10" s="21">
        <v>51.97</v>
      </c>
      <c r="N10" s="11"/>
      <c r="O10" s="16"/>
      <c r="P10" s="17"/>
      <c r="R10" s="11"/>
    </row>
    <row r="11" spans="1:18">
      <c r="A11" t="s">
        <v>24</v>
      </c>
      <c r="B11">
        <v>5.72</v>
      </c>
      <c r="G11" s="4"/>
      <c r="H11" s="4"/>
      <c r="I11" s="185" t="s">
        <v>25</v>
      </c>
      <c r="J11" s="174"/>
      <c r="L11" s="173" t="s">
        <v>26</v>
      </c>
      <c r="M11" s="174"/>
      <c r="N11" s="11"/>
      <c r="O11" s="23"/>
      <c r="P11" s="24"/>
      <c r="R11" s="11"/>
    </row>
    <row r="12" spans="1:18">
      <c r="A12" t="s">
        <v>27</v>
      </c>
      <c r="B12">
        <v>51.97</v>
      </c>
      <c r="F12" t="s">
        <v>163</v>
      </c>
      <c r="G12" t="s">
        <v>165</v>
      </c>
      <c r="I12" s="9" t="s">
        <v>28</v>
      </c>
      <c r="J12" s="13">
        <v>533795.57999999996</v>
      </c>
      <c r="L12" s="25" t="s">
        <v>29</v>
      </c>
      <c r="M12" s="13">
        <v>195045</v>
      </c>
      <c r="N12" s="11"/>
      <c r="O12" s="173"/>
      <c r="P12" s="174"/>
      <c r="R12" s="11"/>
    </row>
    <row r="13" spans="1:18" ht="15.75" thickBot="1">
      <c r="A13" t="s">
        <v>30</v>
      </c>
      <c r="B13">
        <v>1.45</v>
      </c>
      <c r="F13" t="s">
        <v>164</v>
      </c>
      <c r="G13" t="s">
        <v>166</v>
      </c>
      <c r="I13" s="26" t="s">
        <v>31</v>
      </c>
      <c r="J13" s="24">
        <f>J12*0.85</f>
        <v>453726.24299999996</v>
      </c>
      <c r="K13" s="11"/>
      <c r="L13" s="27" t="s">
        <v>32</v>
      </c>
      <c r="M13" s="24">
        <v>172267</v>
      </c>
      <c r="N13" s="11"/>
      <c r="O13" s="28"/>
      <c r="P13" s="29"/>
      <c r="Q13" s="11"/>
      <c r="R13" s="11"/>
    </row>
    <row r="14" spans="1:18" ht="15.75" thickBot="1">
      <c r="A14" t="s">
        <v>33</v>
      </c>
      <c r="B14">
        <v>4.78</v>
      </c>
      <c r="G14" t="s">
        <v>167</v>
      </c>
      <c r="I14" s="30"/>
      <c r="J14" s="8"/>
      <c r="K14" s="8"/>
      <c r="L14" s="27" t="s">
        <v>168</v>
      </c>
      <c r="M14" s="11">
        <v>146401</v>
      </c>
      <c r="P14" s="11"/>
      <c r="Q14" s="11"/>
      <c r="R14" s="11"/>
    </row>
    <row r="15" spans="1:18">
      <c r="A15" t="s">
        <v>34</v>
      </c>
      <c r="B15">
        <v>0.88</v>
      </c>
      <c r="G15" s="3"/>
      <c r="H15" s="4"/>
      <c r="I15" s="30"/>
      <c r="J15" s="8"/>
      <c r="K15" s="8"/>
      <c r="L15" s="8"/>
      <c r="O15" s="11"/>
      <c r="P15" s="11"/>
      <c r="Q15" s="11"/>
      <c r="R15" s="11"/>
    </row>
    <row r="16" spans="1:18" ht="15.75" thickBot="1">
      <c r="H16" s="31" t="s">
        <v>35</v>
      </c>
      <c r="I16" s="5" t="s">
        <v>203</v>
      </c>
      <c r="J16" s="5">
        <v>1.2085999999999999</v>
      </c>
      <c r="K16" s="5"/>
      <c r="L16" s="32"/>
      <c r="N16" s="30"/>
      <c r="O16" s="11"/>
      <c r="P16" s="11"/>
      <c r="Q16" s="11"/>
      <c r="R16" s="11"/>
    </row>
    <row r="17" spans="1:18">
      <c r="A17" t="s">
        <v>36</v>
      </c>
      <c r="I17" s="33" t="s">
        <v>37</v>
      </c>
      <c r="J17" s="34">
        <v>1.3125589999999999E-2</v>
      </c>
      <c r="K17" s="5"/>
      <c r="L17" s="175"/>
      <c r="M17" s="176"/>
      <c r="N17" s="176"/>
      <c r="O17" s="176"/>
      <c r="P17" s="176"/>
      <c r="Q17" s="176"/>
      <c r="R17" s="177"/>
    </row>
    <row r="18" spans="1:18">
      <c r="A18" t="s">
        <v>38</v>
      </c>
      <c r="I18" s="35" t="s">
        <v>39</v>
      </c>
      <c r="J18" s="36">
        <v>0.81120000000000003</v>
      </c>
      <c r="K18" s="5"/>
      <c r="L18" s="178"/>
      <c r="M18" s="174"/>
      <c r="N18" s="174"/>
      <c r="O18" s="174"/>
      <c r="P18" s="174"/>
      <c r="Q18" s="174"/>
      <c r="R18" s="179"/>
    </row>
    <row r="19" spans="1:18">
      <c r="A19" t="s">
        <v>40</v>
      </c>
      <c r="B19">
        <v>96.6</v>
      </c>
      <c r="I19" s="37"/>
      <c r="J19" s="38"/>
      <c r="K19" s="5"/>
      <c r="L19" s="178"/>
      <c r="M19" s="174"/>
      <c r="N19" s="174"/>
      <c r="O19" s="174"/>
      <c r="P19" s="174"/>
      <c r="Q19" s="174"/>
      <c r="R19" s="179"/>
    </row>
    <row r="20" spans="1:18">
      <c r="I20" s="37"/>
      <c r="J20" s="38"/>
      <c r="K20" s="5"/>
      <c r="L20" s="178"/>
      <c r="M20" s="174"/>
      <c r="N20" s="174"/>
      <c r="O20" s="174"/>
      <c r="P20" s="174"/>
      <c r="Q20" s="174"/>
      <c r="R20" s="179"/>
    </row>
    <row r="21" spans="1:18">
      <c r="C21" s="39"/>
      <c r="D21" s="39"/>
      <c r="E21" s="39"/>
      <c r="F21" s="39"/>
      <c r="G21" s="39"/>
      <c r="H21" s="39"/>
      <c r="I21" s="39"/>
      <c r="J21" s="39"/>
      <c r="K21" s="5"/>
      <c r="L21" s="178"/>
      <c r="M21" s="174"/>
      <c r="N21" s="174"/>
      <c r="O21" s="174"/>
      <c r="P21" s="174"/>
      <c r="Q21" s="174"/>
      <c r="R21" s="179"/>
    </row>
    <row r="22" spans="1:18">
      <c r="B22" s="39" t="s">
        <v>41</v>
      </c>
      <c r="C22" s="39" t="s">
        <v>42</v>
      </c>
      <c r="D22" s="39" t="s">
        <v>43</v>
      </c>
      <c r="E22" s="39" t="s">
        <v>44</v>
      </c>
      <c r="F22" s="39" t="s">
        <v>45</v>
      </c>
      <c r="G22" s="39" t="s">
        <v>46</v>
      </c>
      <c r="H22" s="39" t="s">
        <v>47</v>
      </c>
      <c r="I22" s="39" t="s">
        <v>48</v>
      </c>
      <c r="K22" s="5"/>
      <c r="L22" s="178"/>
      <c r="M22" s="174"/>
      <c r="N22" s="174"/>
      <c r="O22" s="174"/>
      <c r="P22" s="174"/>
      <c r="Q22" s="174"/>
      <c r="R22" s="179"/>
    </row>
    <row r="23" spans="1:18">
      <c r="B23">
        <v>0</v>
      </c>
      <c r="C23">
        <v>1500</v>
      </c>
      <c r="D23">
        <v>3000</v>
      </c>
      <c r="E23">
        <v>4500</v>
      </c>
      <c r="F23">
        <v>6000</v>
      </c>
      <c r="G23">
        <v>7500</v>
      </c>
      <c r="H23">
        <v>9000</v>
      </c>
      <c r="I23">
        <v>10500</v>
      </c>
      <c r="J23" s="40"/>
      <c r="K23" s="5"/>
      <c r="L23" s="178"/>
      <c r="M23" s="174"/>
      <c r="N23" s="174"/>
      <c r="O23" s="174"/>
      <c r="P23" s="174"/>
      <c r="Q23" s="174"/>
      <c r="R23" s="179"/>
    </row>
    <row r="24" spans="1:18">
      <c r="A24" s="39" t="s">
        <v>49</v>
      </c>
      <c r="B24" s="40">
        <f t="shared" ref="B24:I24" si="0">(1.05-23.66*10^-6*B$23)^4.256</f>
        <v>1.2307834756847218</v>
      </c>
      <c r="C24" s="40">
        <f t="shared" si="0"/>
        <v>1.0632293336293623</v>
      </c>
      <c r="D24" s="40">
        <f t="shared" si="0"/>
        <v>0.91371108984015903</v>
      </c>
      <c r="E24" s="40">
        <f t="shared" si="0"/>
        <v>0.78083687721425932</v>
      </c>
      <c r="F24" s="40">
        <f t="shared" si="0"/>
        <v>0.66327678178020855</v>
      </c>
      <c r="G24" s="40">
        <f t="shared" si="0"/>
        <v>0.55976225964731741</v>
      </c>
      <c r="H24" s="40">
        <f t="shared" si="0"/>
        <v>0.46908553738870118</v>
      </c>
      <c r="I24" s="40">
        <f t="shared" si="0"/>
        <v>0.39009899471001425</v>
      </c>
      <c r="K24" s="5"/>
      <c r="L24" s="178"/>
      <c r="M24" s="174"/>
      <c r="N24" s="174"/>
      <c r="O24" s="174"/>
      <c r="P24" s="174"/>
      <c r="Q24" s="174"/>
      <c r="R24" s="179"/>
    </row>
    <row r="25" spans="1:18">
      <c r="A25" s="39" t="s">
        <v>50</v>
      </c>
      <c r="B25">
        <f t="shared" ref="B25:I25" si="1">288.15-6.5*10^-3*B23</f>
        <v>288.14999999999998</v>
      </c>
      <c r="C25">
        <f t="shared" si="1"/>
        <v>278.39999999999998</v>
      </c>
      <c r="D25">
        <f t="shared" si="1"/>
        <v>268.64999999999998</v>
      </c>
      <c r="E25">
        <f t="shared" si="1"/>
        <v>258.89999999999998</v>
      </c>
      <c r="F25">
        <f t="shared" si="1"/>
        <v>249.14999999999998</v>
      </c>
      <c r="G25">
        <f t="shared" si="1"/>
        <v>239.39999999999998</v>
      </c>
      <c r="H25">
        <f t="shared" si="1"/>
        <v>229.64999999999998</v>
      </c>
      <c r="I25">
        <f t="shared" si="1"/>
        <v>219.89999999999998</v>
      </c>
      <c r="K25" s="5"/>
      <c r="L25" s="178"/>
      <c r="M25" s="174"/>
      <c r="N25" s="174"/>
      <c r="O25" s="174"/>
      <c r="P25" s="174"/>
      <c r="Q25" s="174"/>
      <c r="R25" s="179"/>
    </row>
    <row r="26" spans="1:18">
      <c r="A26" s="39" t="s">
        <v>51</v>
      </c>
      <c r="B26">
        <v>9.81</v>
      </c>
      <c r="C26">
        <v>9.81</v>
      </c>
      <c r="D26">
        <v>9.81</v>
      </c>
      <c r="E26">
        <v>9.81</v>
      </c>
      <c r="F26">
        <v>9.81</v>
      </c>
      <c r="G26">
        <v>9.81</v>
      </c>
      <c r="H26">
        <v>9.81</v>
      </c>
      <c r="I26">
        <v>9.81</v>
      </c>
      <c r="J26" s="38"/>
      <c r="K26" s="5"/>
      <c r="L26" s="178"/>
      <c r="M26" s="174"/>
      <c r="N26" s="174"/>
      <c r="O26" s="174"/>
      <c r="P26" s="174"/>
      <c r="Q26" s="174"/>
      <c r="R26" s="179"/>
    </row>
    <row r="27" spans="1:18">
      <c r="I27" s="37"/>
      <c r="J27" s="38"/>
      <c r="K27" s="5"/>
      <c r="L27" s="178"/>
      <c r="M27" s="174"/>
      <c r="N27" s="174"/>
      <c r="O27" s="174"/>
      <c r="P27" s="174"/>
      <c r="Q27" s="174"/>
      <c r="R27" s="179"/>
    </row>
    <row r="28" spans="1:18">
      <c r="I28" s="5"/>
      <c r="J28" s="5"/>
      <c r="K28" s="5"/>
      <c r="L28" s="178"/>
      <c r="M28" s="174"/>
      <c r="N28" s="174"/>
      <c r="O28" s="174"/>
      <c r="P28" s="174"/>
      <c r="Q28" s="174"/>
      <c r="R28" s="179"/>
    </row>
    <row r="29" spans="1:18">
      <c r="I29" s="5"/>
      <c r="J29" s="5"/>
      <c r="K29" s="5"/>
      <c r="L29" s="178"/>
      <c r="M29" s="174"/>
      <c r="N29" s="174"/>
      <c r="O29" s="174"/>
      <c r="P29" s="174"/>
      <c r="Q29" s="174"/>
      <c r="R29" s="179"/>
    </row>
    <row r="30" spans="1:18">
      <c r="I30" s="5"/>
      <c r="J30" s="5"/>
      <c r="K30" s="5"/>
      <c r="L30" s="178"/>
      <c r="M30" s="174"/>
      <c r="N30" s="174"/>
      <c r="O30" s="174"/>
      <c r="P30" s="174"/>
      <c r="Q30" s="174"/>
      <c r="R30" s="179"/>
    </row>
    <row r="31" spans="1:18">
      <c r="H31" s="30"/>
      <c r="I31" s="4"/>
      <c r="J31" s="4"/>
      <c r="K31" s="4"/>
      <c r="L31" s="178"/>
      <c r="M31" s="174"/>
      <c r="N31" s="174"/>
      <c r="O31" s="174"/>
      <c r="P31" s="174"/>
      <c r="Q31" s="174"/>
      <c r="R31" s="179"/>
    </row>
    <row r="32" spans="1:18">
      <c r="I32" s="4"/>
      <c r="J32" s="4"/>
      <c r="K32" s="4"/>
      <c r="L32" s="178"/>
      <c r="M32" s="174"/>
      <c r="N32" s="174"/>
      <c r="O32" s="174"/>
      <c r="P32" s="174"/>
      <c r="Q32" s="174"/>
      <c r="R32" s="179"/>
    </row>
    <row r="33" spans="9:18">
      <c r="I33" s="4"/>
      <c r="J33" s="4"/>
      <c r="K33" s="4"/>
      <c r="L33" s="178"/>
      <c r="M33" s="174"/>
      <c r="N33" s="174"/>
      <c r="O33" s="174"/>
      <c r="P33" s="174"/>
      <c r="Q33" s="174"/>
      <c r="R33" s="179"/>
    </row>
    <row r="34" spans="9:18">
      <c r="I34" s="4"/>
      <c r="J34" s="4"/>
      <c r="K34" s="4"/>
      <c r="L34" s="180"/>
      <c r="M34" s="181"/>
      <c r="N34" s="181"/>
      <c r="O34" s="181"/>
      <c r="P34" s="181"/>
      <c r="Q34" s="181"/>
      <c r="R34" s="182"/>
    </row>
  </sheetData>
  <mergeCells count="8">
    <mergeCell ref="O12:P12"/>
    <mergeCell ref="L17:R34"/>
    <mergeCell ref="Q4:R4"/>
    <mergeCell ref="I5:J5"/>
    <mergeCell ref="L5:M5"/>
    <mergeCell ref="O5:P5"/>
    <mergeCell ref="I11:J11"/>
    <mergeCell ref="L11:M1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9"/>
  <sheetViews>
    <sheetView tabSelected="1" topLeftCell="D7" workbookViewId="0">
      <selection activeCell="L24" sqref="L24"/>
    </sheetView>
  </sheetViews>
  <sheetFormatPr baseColWidth="10" defaultRowHeight="15"/>
  <cols>
    <col min="12" max="12" width="43.140625" customWidth="1"/>
  </cols>
  <sheetData>
    <row r="2" spans="1:16">
      <c r="A2" t="s">
        <v>176</v>
      </c>
      <c r="B2">
        <v>10500</v>
      </c>
    </row>
    <row r="8" spans="1:16">
      <c r="A8" s="136"/>
      <c r="B8" s="117" t="s">
        <v>117</v>
      </c>
      <c r="C8" s="117"/>
      <c r="E8" s="117"/>
      <c r="F8" s="117" t="s">
        <v>177</v>
      </c>
      <c r="G8" s="136"/>
      <c r="H8" s="117" t="s">
        <v>119</v>
      </c>
      <c r="I8" s="117"/>
    </row>
    <row r="9" spans="1:16">
      <c r="A9" s="126" t="s">
        <v>154</v>
      </c>
      <c r="B9" s="137" t="s">
        <v>174</v>
      </c>
      <c r="C9" s="137" t="s">
        <v>175</v>
      </c>
      <c r="D9" s="126"/>
      <c r="E9" t="s">
        <v>174</v>
      </c>
      <c r="F9" t="s">
        <v>175</v>
      </c>
      <c r="G9" s="126"/>
      <c r="H9" t="s">
        <v>174</v>
      </c>
      <c r="I9" t="s">
        <v>178</v>
      </c>
    </row>
    <row r="10" spans="1:16">
      <c r="A10" s="126">
        <v>0</v>
      </c>
      <c r="B10">
        <v>17.059999999999999</v>
      </c>
      <c r="C10" s="136">
        <f>($B$2/B10)*LN($B$2/($B$2-A10))/60</f>
        <v>0</v>
      </c>
      <c r="D10" s="126"/>
      <c r="E10">
        <v>20</v>
      </c>
      <c r="F10">
        <f>($B$2/E10)*LN($B$2/($B$2-A10))/60</f>
        <v>0</v>
      </c>
      <c r="G10" s="126"/>
      <c r="H10">
        <v>24.5</v>
      </c>
      <c r="I10">
        <f>($B$2/H10)*LN($B$2/($B$2-A10))/60</f>
        <v>0</v>
      </c>
    </row>
    <row r="11" spans="1:16">
      <c r="A11" s="126">
        <v>1500</v>
      </c>
      <c r="B11" s="135">
        <v>15</v>
      </c>
      <c r="C11" s="136">
        <f t="shared" ref="C11:C17" si="0">($B$2/B11)*LN($B$2/($B$2-A11))/60</f>
        <v>1.7984245979846809</v>
      </c>
      <c r="D11" s="126"/>
      <c r="E11">
        <v>17.8</v>
      </c>
      <c r="F11" s="135">
        <f t="shared" ref="F11:F17" si="1">($B$2/E11)*LN($B$2/($B$2-A11))/60</f>
        <v>1.5155263466163043</v>
      </c>
      <c r="G11" s="126"/>
      <c r="H11">
        <v>22.3</v>
      </c>
      <c r="I11" s="135">
        <f t="shared" ref="I11:I17" si="2">($B$2/H11)*LN($B$2/($B$2-A11))/60</f>
        <v>1.2097026443843144</v>
      </c>
    </row>
    <row r="12" spans="1:16">
      <c r="A12" s="126">
        <v>3000</v>
      </c>
      <c r="B12" s="135">
        <v>13.3</v>
      </c>
      <c r="C12" s="136">
        <f t="shared" si="0"/>
        <v>4.4272662713317477</v>
      </c>
      <c r="D12" s="126"/>
      <c r="E12">
        <v>15.9</v>
      </c>
      <c r="F12" s="135">
        <f t="shared" si="1"/>
        <v>3.7033107804221546</v>
      </c>
      <c r="G12" s="126"/>
      <c r="H12">
        <v>19.8</v>
      </c>
      <c r="I12" s="135">
        <f t="shared" si="2"/>
        <v>2.9738707782177909</v>
      </c>
    </row>
    <row r="13" spans="1:16">
      <c r="A13" s="126">
        <v>4500</v>
      </c>
      <c r="B13" s="135">
        <v>10.4</v>
      </c>
      <c r="C13" s="136">
        <f t="shared" si="0"/>
        <v>9.4166118162210548</v>
      </c>
      <c r="D13" s="126"/>
      <c r="E13">
        <v>12.5</v>
      </c>
      <c r="F13" s="135">
        <f t="shared" si="1"/>
        <v>7.8346210310959172</v>
      </c>
      <c r="G13" s="126"/>
      <c r="H13">
        <v>15.7</v>
      </c>
      <c r="I13" s="135">
        <f t="shared" si="2"/>
        <v>6.2377555980063031</v>
      </c>
      <c r="L13" s="117" t="s">
        <v>260</v>
      </c>
    </row>
    <row r="14" spans="1:16">
      <c r="A14" s="126">
        <v>6000</v>
      </c>
      <c r="B14" s="135">
        <v>7</v>
      </c>
      <c r="C14" s="136">
        <f t="shared" si="0"/>
        <v>21.182446509680094</v>
      </c>
      <c r="D14" s="126"/>
      <c r="E14">
        <v>8.6999999999999993</v>
      </c>
      <c r="F14" s="135">
        <f t="shared" si="1"/>
        <v>17.043347766409273</v>
      </c>
      <c r="G14" s="126"/>
      <c r="H14">
        <v>11.5</v>
      </c>
      <c r="I14" s="135">
        <f t="shared" si="2"/>
        <v>12.893663092848753</v>
      </c>
      <c r="L14" s="117"/>
      <c r="N14" s="117"/>
      <c r="O14" s="117"/>
      <c r="P14" s="117"/>
    </row>
    <row r="15" spans="1:16">
      <c r="A15" s="126">
        <v>7500</v>
      </c>
      <c r="B15" s="135">
        <v>3.8</v>
      </c>
      <c r="C15" s="136">
        <f t="shared" si="0"/>
        <v>57.693031443865635</v>
      </c>
      <c r="D15" s="126"/>
      <c r="E15">
        <v>5.2</v>
      </c>
      <c r="F15" s="135">
        <f t="shared" si="1"/>
        <v>42.160292208978731</v>
      </c>
      <c r="G15" s="126"/>
      <c r="H15">
        <v>7.83</v>
      </c>
      <c r="I15" s="135">
        <f t="shared" si="2"/>
        <v>27.999172348236197</v>
      </c>
      <c r="L15" t="s">
        <v>263</v>
      </c>
    </row>
    <row r="16" spans="1:16">
      <c r="A16" s="126">
        <v>9000</v>
      </c>
      <c r="B16" s="135">
        <v>1</v>
      </c>
      <c r="C16" s="136">
        <f t="shared" si="0"/>
        <v>340.53427608467979</v>
      </c>
      <c r="D16" s="126"/>
      <c r="E16">
        <v>2.4</v>
      </c>
      <c r="F16" s="135">
        <f t="shared" si="1"/>
        <v>141.88928170194993</v>
      </c>
      <c r="G16" s="126"/>
      <c r="H16">
        <v>4.5</v>
      </c>
      <c r="I16" s="135">
        <f t="shared" si="2"/>
        <v>75.674283574373291</v>
      </c>
      <c r="L16" t="s">
        <v>262</v>
      </c>
      <c r="M16" t="s">
        <v>261</v>
      </c>
    </row>
    <row r="17" spans="1:12">
      <c r="A17" s="126">
        <v>9598</v>
      </c>
      <c r="B17" s="172">
        <v>0</v>
      </c>
      <c r="C17" s="136">
        <v>1000</v>
      </c>
      <c r="D17" s="126"/>
      <c r="F17" s="172"/>
      <c r="G17" s="126"/>
      <c r="H17">
        <v>0</v>
      </c>
      <c r="I17" s="172">
        <v>1000</v>
      </c>
      <c r="L17" t="s">
        <v>269</v>
      </c>
    </row>
    <row r="18" spans="1:12">
      <c r="A18" s="126">
        <v>10265</v>
      </c>
      <c r="E18">
        <v>0</v>
      </c>
      <c r="F18">
        <v>200</v>
      </c>
      <c r="L18" t="s">
        <v>264</v>
      </c>
    </row>
    <row r="19" spans="1:12">
      <c r="L19" t="s">
        <v>265</v>
      </c>
    </row>
    <row r="20" spans="1:12">
      <c r="L20" t="s">
        <v>266</v>
      </c>
    </row>
    <row r="21" spans="1:12">
      <c r="A21" s="126">
        <v>0</v>
      </c>
      <c r="B21" s="172">
        <v>20</v>
      </c>
      <c r="C21">
        <f>($B$2/B21)*LN($B$2/($B$2-A21))/60</f>
        <v>0</v>
      </c>
    </row>
    <row r="22" spans="1:12">
      <c r="A22" s="126">
        <v>1500</v>
      </c>
      <c r="B22" s="172">
        <v>17.8</v>
      </c>
      <c r="C22" s="172">
        <f t="shared" ref="C22:C27" si="3">($B$2/B22)*LN($B$2/($B$2-A22))/60</f>
        <v>1.5155263466163043</v>
      </c>
      <c r="D22" s="172">
        <f t="shared" ref="D22:D29" si="4">($B$2/B22)*LN($B$2/($B$2-A22))/60</f>
        <v>1.5155263466163043</v>
      </c>
    </row>
    <row r="23" spans="1:12">
      <c r="A23" s="126">
        <v>3000</v>
      </c>
      <c r="B23" s="172">
        <v>15.9</v>
      </c>
      <c r="C23" s="172">
        <f t="shared" si="3"/>
        <v>3.7033107804221546</v>
      </c>
      <c r="D23" s="172">
        <f t="shared" si="4"/>
        <v>3.7033107804221546</v>
      </c>
      <c r="L23" t="s">
        <v>267</v>
      </c>
    </row>
    <row r="24" spans="1:12">
      <c r="A24" s="126">
        <v>4500</v>
      </c>
      <c r="B24" s="172">
        <v>12.5</v>
      </c>
      <c r="C24" s="172">
        <f t="shared" si="3"/>
        <v>7.8346210310959172</v>
      </c>
      <c r="D24" s="172">
        <f t="shared" si="4"/>
        <v>7.8346210310959172</v>
      </c>
      <c r="L24" t="s">
        <v>268</v>
      </c>
    </row>
    <row r="25" spans="1:12">
      <c r="A25" s="126">
        <v>6000</v>
      </c>
      <c r="B25" s="172">
        <v>8.6999999999999993</v>
      </c>
      <c r="C25" s="172">
        <f t="shared" si="3"/>
        <v>17.043347766409273</v>
      </c>
      <c r="D25" s="172">
        <f t="shared" si="4"/>
        <v>17.043347766409273</v>
      </c>
    </row>
    <row r="26" spans="1:12">
      <c r="A26" s="126">
        <v>7500</v>
      </c>
      <c r="B26" s="172">
        <v>5.2</v>
      </c>
      <c r="C26" s="172">
        <f t="shared" si="3"/>
        <v>42.160292208978731</v>
      </c>
      <c r="D26" s="172">
        <f t="shared" si="4"/>
        <v>42.160292208978731</v>
      </c>
    </row>
    <row r="27" spans="1:12">
      <c r="A27" s="126">
        <v>9000</v>
      </c>
      <c r="B27" s="172">
        <v>2.4</v>
      </c>
      <c r="C27" s="172">
        <f t="shared" si="3"/>
        <v>141.88928170194993</v>
      </c>
      <c r="D27" s="172">
        <f t="shared" si="4"/>
        <v>141.88928170194993</v>
      </c>
    </row>
    <row r="28" spans="1:12">
      <c r="A28" s="126">
        <v>10265</v>
      </c>
      <c r="B28" s="172">
        <v>0</v>
      </c>
      <c r="C28">
        <v>1000</v>
      </c>
      <c r="D28" s="172" t="e">
        <f t="shared" si="4"/>
        <v>#DIV/0!</v>
      </c>
    </row>
    <row r="29" spans="1:12">
      <c r="A29" s="126"/>
      <c r="D29" s="172" t="e">
        <f t="shared" si="4"/>
        <v>#DIV/0!</v>
      </c>
    </row>
    <row r="32" spans="1:12">
      <c r="A32" s="126">
        <v>0</v>
      </c>
      <c r="B32" s="172">
        <v>24.5</v>
      </c>
      <c r="C32">
        <f>($B$2/B32)*LN($B$2/($B$2-A32))/60</f>
        <v>0</v>
      </c>
    </row>
    <row r="33" spans="1:3">
      <c r="A33" s="126">
        <v>1500</v>
      </c>
      <c r="B33" s="172">
        <v>22.3</v>
      </c>
      <c r="C33" s="172">
        <f t="shared" ref="C33:C39" si="5">($B$2/B33)*LN($B$2/($B$2-A33))/60</f>
        <v>1.2097026443843144</v>
      </c>
    </row>
    <row r="34" spans="1:3">
      <c r="A34" s="126">
        <v>3000</v>
      </c>
      <c r="B34" s="172">
        <v>19.8</v>
      </c>
      <c r="C34" s="172">
        <f t="shared" si="5"/>
        <v>2.9738707782177909</v>
      </c>
    </row>
    <row r="35" spans="1:3">
      <c r="A35" s="126">
        <v>4500</v>
      </c>
      <c r="B35" s="172">
        <v>15.7</v>
      </c>
      <c r="C35" s="172">
        <f t="shared" si="5"/>
        <v>6.2377555980063031</v>
      </c>
    </row>
    <row r="36" spans="1:3">
      <c r="A36" s="126">
        <v>6000</v>
      </c>
      <c r="B36" s="172">
        <v>11.5</v>
      </c>
      <c r="C36" s="172">
        <f t="shared" si="5"/>
        <v>12.893663092848753</v>
      </c>
    </row>
    <row r="37" spans="1:3">
      <c r="A37" s="126">
        <v>7500</v>
      </c>
      <c r="B37" s="172">
        <v>7.83</v>
      </c>
      <c r="C37" s="172">
        <f t="shared" si="5"/>
        <v>27.999172348236197</v>
      </c>
    </row>
    <row r="38" spans="1:3">
      <c r="A38" s="126">
        <v>9000</v>
      </c>
      <c r="B38" s="172">
        <v>4.5</v>
      </c>
      <c r="C38" s="172">
        <f t="shared" si="5"/>
        <v>75.674283574373291</v>
      </c>
    </row>
    <row r="39" spans="1:3">
      <c r="A39" s="126">
        <v>11057</v>
      </c>
      <c r="B39" s="172">
        <v>0</v>
      </c>
      <c r="C39" s="172">
        <v>500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69"/>
  <sheetViews>
    <sheetView topLeftCell="D1" zoomScale="70" zoomScaleNormal="70" workbookViewId="0">
      <selection activeCell="AL34" sqref="AL34"/>
    </sheetView>
  </sheetViews>
  <sheetFormatPr baseColWidth="10" defaultRowHeight="15"/>
  <cols>
    <col min="7" max="7" width="3.28515625" style="139" customWidth="1"/>
    <col min="13" max="13" width="6.42578125" customWidth="1"/>
  </cols>
  <sheetData>
    <row r="1" spans="1:39" s="139" customFormat="1">
      <c r="A1" s="139" t="s">
        <v>194</v>
      </c>
      <c r="B1" s="139">
        <v>9.81</v>
      </c>
      <c r="N1" s="7" t="s">
        <v>180</v>
      </c>
      <c r="O1" s="139">
        <f>1/(PI()*DATOS!B6*DATOS!J18)</f>
        <v>6.2805409961308373E-2</v>
      </c>
      <c r="P1" s="7" t="s">
        <v>185</v>
      </c>
      <c r="Q1" s="139">
        <f>DATOS!J6</f>
        <v>358.7</v>
      </c>
      <c r="R1" s="7" t="s">
        <v>181</v>
      </c>
      <c r="S1" s="139">
        <f>DATOS!J17</f>
        <v>1.3125589999999999E-2</v>
      </c>
      <c r="T1" s="7" t="s">
        <v>198</v>
      </c>
      <c r="U1" s="139">
        <f>DATOS!J12</f>
        <v>533795.57999999996</v>
      </c>
      <c r="V1" s="7" t="s">
        <v>202</v>
      </c>
      <c r="W1" s="139">
        <f>DATOS!J16</f>
        <v>1.2085999999999999</v>
      </c>
    </row>
    <row r="2" spans="1:39" s="139" customFormat="1"/>
    <row r="3" spans="1:39" s="139" customFormat="1">
      <c r="A3" s="140"/>
      <c r="B3" s="188" t="s">
        <v>195</v>
      </c>
      <c r="C3" s="188"/>
      <c r="D3" s="188"/>
      <c r="E3" s="188"/>
      <c r="F3" s="188"/>
      <c r="G3" s="141"/>
      <c r="H3" s="188" t="s">
        <v>196</v>
      </c>
      <c r="I3" s="188"/>
      <c r="J3" s="188"/>
      <c r="K3" s="188"/>
      <c r="L3" s="189"/>
      <c r="N3" s="139" t="s">
        <v>64</v>
      </c>
      <c r="O3" s="139" t="s">
        <v>78</v>
      </c>
      <c r="P3" s="139" t="s">
        <v>80</v>
      </c>
      <c r="Q3" s="139" t="s">
        <v>82</v>
      </c>
      <c r="R3" s="139" t="s">
        <v>83</v>
      </c>
      <c r="S3" s="139" t="s">
        <v>84</v>
      </c>
      <c r="T3" s="139" t="s">
        <v>85</v>
      </c>
      <c r="U3" s="139" t="s">
        <v>86</v>
      </c>
      <c r="W3" s="139" t="s">
        <v>64</v>
      </c>
      <c r="X3" s="139" t="s">
        <v>78</v>
      </c>
      <c r="Y3" s="139" t="s">
        <v>80</v>
      </c>
      <c r="Z3" s="139" t="s">
        <v>82</v>
      </c>
      <c r="AA3" s="139" t="s">
        <v>83</v>
      </c>
      <c r="AB3" s="139" t="s">
        <v>84</v>
      </c>
      <c r="AC3" s="139" t="s">
        <v>85</v>
      </c>
      <c r="AD3" s="139" t="s">
        <v>86</v>
      </c>
      <c r="AE3" s="139" t="s">
        <v>206</v>
      </c>
      <c r="AF3" s="139" t="s">
        <v>64</v>
      </c>
      <c r="AG3" s="139" t="s">
        <v>78</v>
      </c>
      <c r="AH3" s="139" t="s">
        <v>80</v>
      </c>
      <c r="AI3" s="139" t="s">
        <v>82</v>
      </c>
      <c r="AJ3" s="139" t="s">
        <v>83</v>
      </c>
      <c r="AK3" s="139" t="s">
        <v>84</v>
      </c>
      <c r="AL3" s="139" t="s">
        <v>85</v>
      </c>
      <c r="AM3" s="139" t="s">
        <v>86</v>
      </c>
    </row>
    <row r="4" spans="1:39">
      <c r="A4" s="142" t="s">
        <v>52</v>
      </c>
      <c r="B4" s="143">
        <v>1.2</v>
      </c>
      <c r="C4" s="143">
        <v>1.5</v>
      </c>
      <c r="D4" s="143">
        <v>2</v>
      </c>
      <c r="E4" s="143">
        <v>2.5</v>
      </c>
      <c r="F4" s="143">
        <v>3</v>
      </c>
      <c r="G4" s="143"/>
      <c r="H4" s="143">
        <v>1.2</v>
      </c>
      <c r="I4" s="143">
        <v>1.5</v>
      </c>
      <c r="J4" s="143">
        <v>2</v>
      </c>
      <c r="K4" s="143">
        <v>2.5</v>
      </c>
      <c r="L4" s="144">
        <v>3</v>
      </c>
      <c r="N4" s="139" t="s">
        <v>197</v>
      </c>
      <c r="O4" s="139">
        <f>DATOS!M12*9.81</f>
        <v>1913391.4500000002</v>
      </c>
      <c r="P4" s="139" t="s">
        <v>199</v>
      </c>
      <c r="Q4" s="139">
        <f>(2-(4*$O$1*$S$1)/($U$1/$O$4)^2)^0.5</f>
        <v>1.3991541825322242</v>
      </c>
      <c r="W4" s="139" t="s">
        <v>204</v>
      </c>
      <c r="X4" s="139">
        <f>DATOS!M13*9.81</f>
        <v>1689939.27</v>
      </c>
      <c r="Y4" s="139" t="s">
        <v>199</v>
      </c>
      <c r="Z4" s="139">
        <f>(2-(4*$O$1*$S$1)/($U$1/$X$4)^2)^0.5</f>
        <v>1.4024800368397772</v>
      </c>
      <c r="AA4" s="139"/>
      <c r="AB4" s="139"/>
      <c r="AC4" s="139"/>
      <c r="AD4" s="139"/>
      <c r="AF4" s="139" t="s">
        <v>207</v>
      </c>
      <c r="AG4" s="139">
        <f>DATOS!M14*9.81</f>
        <v>1436193.81</v>
      </c>
      <c r="AH4" s="139" t="s">
        <v>199</v>
      </c>
      <c r="AI4" s="139">
        <f>(2-(4*$O$1*$S$1)/($U$1/$AG$4)^2)^0.5</f>
        <v>1.4057489182347673</v>
      </c>
      <c r="AJ4" s="139"/>
      <c r="AK4" s="139"/>
      <c r="AL4" s="139"/>
      <c r="AM4" s="139"/>
    </row>
    <row r="5" spans="1:39">
      <c r="A5" s="142">
        <v>20</v>
      </c>
      <c r="B5" s="143">
        <f t="shared" ref="B5:B36" si="0">(A5^2)/($B$1*($B$4^2-1)^0.5)*(1/1000)</f>
        <v>6.1470202768147533E-2</v>
      </c>
      <c r="C5" s="143">
        <f t="shared" ref="C5:C36" si="1">(A5^2)/($B$1*($C$4^2-1)^0.5)*(1/1000)</f>
        <v>3.6470017981647944E-2</v>
      </c>
      <c r="D5" s="143">
        <f t="shared" ref="D5:D36" si="2">(A5^2)/($B$1*($D$4^2-1)^0.5)*(1/1000)</f>
        <v>2.3541295379801257E-2</v>
      </c>
      <c r="E5" s="143">
        <f t="shared" ref="E5:E36" si="3">(A5^2)/($B$1*($E$4^2-1)^0.5)*(1/1000)</f>
        <v>1.7795546604362271E-2</v>
      </c>
      <c r="F5" s="143">
        <f t="shared" ref="F5:F36" si="4">(A5^2)/($B$1*($F$4^2-1)^0.5)*(1/1000)</f>
        <v>1.4416040391163046E-2</v>
      </c>
      <c r="G5" s="143"/>
      <c r="H5" s="143">
        <f>(($B$1*($H$4^2-1)^0.5)/A5)*(180/PI())</f>
        <v>18.641805926422521</v>
      </c>
      <c r="I5" s="143">
        <f>(($B$1*($I$4^2-1)^0.5)/A5)*(180/PI())</f>
        <v>31.420757479151284</v>
      </c>
      <c r="J5" s="143">
        <f>(($B$1*($J$4^2-1)^0.5)/A5)*(180/PI())</f>
        <v>48.676828176790018</v>
      </c>
      <c r="K5" s="143">
        <f>(($B$1*($K$4^2-1)^0.5)/A5)*(180/PI())</f>
        <v>64.393390983603993</v>
      </c>
      <c r="L5" s="144">
        <f>(($B$1*($L$4^2-1)^0.5)/A5)*(180/PI())</f>
        <v>79.488927553510905</v>
      </c>
      <c r="N5" s="139">
        <f>(4*$O$1*($O$4/$Q$1))/($B$1*DATOS!B24*($U$1/$O$4)*(1-(4*$O$1*$S$1/($U$1/$O$4)^2))^0.5)</f>
        <v>406.54466676295817</v>
      </c>
      <c r="O5" s="139">
        <f>(4*$O$1*($O$4/$Q$1))/($B$1*DATOS!C24*($U$1/$O$4)*(1-(4*$O$1*$S$1/($U$1/$O$4)^2))^0.5)</f>
        <v>470.61197631895584</v>
      </c>
      <c r="P5" s="139">
        <f>(4*$O$1*($O$4/$Q$1))/($B$1*DATOS!D24*($U$1/$O$4)*(1-(4*$O$1*$S$1/($U$1/$O$4)^2))^0.5)</f>
        <v>547.62217898343897</v>
      </c>
      <c r="Q5" s="139">
        <f>(4*$O$1*($O$4/$Q$1))/($B$1*DATOS!E24*($U$1/$O$4)*(1-(4*$O$1*$S$1/($U$1/$O$4)^2))^0.5)</f>
        <v>640.81048498212897</v>
      </c>
      <c r="R5" s="139">
        <f>(4*$O$1*($O$4/$Q$1))/($B$1*DATOS!F24*($U$1/$O$4)*(1-(4*$O$1*$S$1/($U$1/$O$4)^2))^0.5)</f>
        <v>754.38862285610469</v>
      </c>
      <c r="S5" s="139">
        <f>(4*$O$1*($O$4/$Q$1))/($B$1*DATOS!G24*($U$1/$O$4)*(1-(4*$O$1*$S$1/($U$1/$O$4)^2))^0.5)</f>
        <v>893.89459427804525</v>
      </c>
      <c r="T5" s="139">
        <f>(4*$O$1*($O$4/$Q$1))/($B$1*DATOS!H24*($U$1/$O$4)*(1-(4*$O$1*$S$1/($U$1/$O$4)^2))^0.5)</f>
        <v>1066.6891602862984</v>
      </c>
      <c r="U5" s="139">
        <f>(4*$O$1*($O$4/$Q$1))/($B$1*DATOS!I24*($U$1/$O$4)*(1-(4*$O$1*$S$1/($U$1/$O$4)^2))^0.5)</f>
        <v>1282.6704625361999</v>
      </c>
      <c r="W5" s="139">
        <f>(4*$O$1*($X$4/$Q$1))/($B$1*DATOS!B24*($U$1/$X$4)*(1-(4*$O$1*$S$1/($U$1/$X$4)^2))^0.5)</f>
        <v>315.60230180376959</v>
      </c>
      <c r="X5" s="139">
        <f>(4*$O$1*($X$4/$Q$1))/($B$1*DATOS!C24*($U$1/$X$4)*(1-(4*$O$1*$S$1/($U$1/$X$4)^2))^0.5)</f>
        <v>365.33801848957467</v>
      </c>
      <c r="Y5" s="139">
        <f>(4*$O$1*($X$4/$Q$1))/($B$1*DATOS!D24*($U$1/$X$4)*(1-(4*$O$1*$S$1/($U$1/$X$4)^2))^0.5)</f>
        <v>425.12135648489703</v>
      </c>
      <c r="Z5" s="139">
        <f>(4*$O$1*($X$4/$Q$1))/($B$1*DATOS!E24*($U$1/$X$4)*(1-(4*$O$1*$S$1/($U$1/$X$4)^2))^0.5)</f>
        <v>497.46382283319815</v>
      </c>
      <c r="AA5" s="139">
        <f>(4*$O$1*($X$4/$Q$1))/($B$1*DATOS!F24*($U$1/$X$4)*(1-(4*$O$1*$S$1/($U$1/$X$4)^2))^0.5)</f>
        <v>585.6349997742866</v>
      </c>
      <c r="AB5" s="139">
        <f>(4*$O$1*($X$4/$Q$1))/($B$1*DATOS!G24*($U$1/$X$4)*(1-(4*$O$1*$S$1/($U$1/$X$4)^2))^0.5)</f>
        <v>693.93406085090578</v>
      </c>
      <c r="AC5" s="139">
        <f>(4*$O$1*($X$4/$Q$1))/($B$1*DATOS!H24*($U$1/$X$4)*(1-(4*$O$1*$S$1/($U$1/$X$4)^2))^0.5)</f>
        <v>828.07519522024461</v>
      </c>
      <c r="AD5" s="139">
        <f>(4*$O$1*($X$4/$Q$1))/($B$1*DATOS!I24*($U$1/$X$4)*(1-(4*$O$1*$S$1/($U$1/$X$4)^2))^0.5)</f>
        <v>995.74237107914928</v>
      </c>
      <c r="AF5" s="139">
        <f>(4*$O$1*($AG$4/$Q$1))/($B$1*DATOS!B24*($U$1/$AG$4)*(1-(4*$O$1*$S$1/($U$1/$AG$4)^2))^0.5)</f>
        <v>226.8675067032469</v>
      </c>
      <c r="AG5" s="139">
        <f>(4*$O$1*($AG$4/$Q$1))/($B$1*DATOS!C24*($U$1/$AG$4)*(1-(4*$O$1*$S$1/($U$1/$AG$4)^2))^0.5)</f>
        <v>262.61952110275939</v>
      </c>
      <c r="AH5" s="139">
        <f>(4*$O$1*($AG$4/$Q$1))/($B$1*DATOS!D24*($U$1/$AG$4)*(1-(4*$O$1*$S$1/($U$1/$AG$4)^2))^0.5)</f>
        <v>305.59416595129164</v>
      </c>
      <c r="AI5" s="139">
        <f>(4*$O$1*($AG$4/$Q$1))/($B$1*DATOS!E24*($U$1/$AG$4)*(1-(4*$O$1*$S$1/($U$1/$AG$4)^2))^0.5)</f>
        <v>357.5968125587525</v>
      </c>
      <c r="AJ5" s="139">
        <f>(4*$O$1*($AG$4/$Q$1))/($B$1*DATOS!F24*($U$1/$AG$4)*(1-(4*$O$1*$S$1/($U$1/$AG$4)^2))^0.5)</f>
        <v>420.97776688446845</v>
      </c>
      <c r="AK5" s="139">
        <f>(4*$O$1*($AG$4/$Q$1))/($B$1*DATOS!G24*($U$1/$AG$4)*(1-(4*$O$1*$S$1/($U$1/$AG$4)^2))^0.5)</f>
        <v>498.82744613057139</v>
      </c>
      <c r="AL5" s="139">
        <f>(4*$O$1*($AG$4/$Q$1))/($B$1*DATOS!H24*($U$1/$AG$4)*(1-(4*$O$1*$S$1/($U$1/$AG$4)^2))^0.5)</f>
        <v>595.2534370906717</v>
      </c>
      <c r="AM5" s="139">
        <f>(4*$O$1*($AG$4/$Q$1))/($B$1*DATOS!I24*($U$1/$AG$4)*(1-(4*$O$1*$S$1/($U$1/$AG$4)^2))^0.5)</f>
        <v>715.77928219916316</v>
      </c>
    </row>
    <row r="6" spans="1:39">
      <c r="A6" s="142">
        <f>A5+5</f>
        <v>25</v>
      </c>
      <c r="B6" s="143">
        <f t="shared" si="0"/>
        <v>9.6047191825230513E-2</v>
      </c>
      <c r="C6" s="143">
        <f t="shared" si="1"/>
        <v>5.6984403096324909E-2</v>
      </c>
      <c r="D6" s="143">
        <f t="shared" si="2"/>
        <v>3.6783274030939457E-2</v>
      </c>
      <c r="E6" s="143">
        <f t="shared" si="3"/>
        <v>2.7805541569316052E-2</v>
      </c>
      <c r="F6" s="143">
        <f t="shared" si="4"/>
        <v>2.2525063111192262E-2</v>
      </c>
      <c r="G6" s="143"/>
      <c r="H6" s="143">
        <f t="shared" ref="H6:H69" si="5">(($B$1*($H$4^2-1)^0.5)/A6)*(180/PI())</f>
        <v>14.913444741138013</v>
      </c>
      <c r="I6" s="143">
        <f t="shared" ref="I6:I69" si="6">(($B$1*($I$4^2-1)^0.5)/A6)*(180/PI())</f>
        <v>25.136605983321029</v>
      </c>
      <c r="J6" s="143">
        <f t="shared" ref="J6:J69" si="7">(($B$1*($J$4^2-1)^0.5)/A6)*(180/PI())</f>
        <v>38.94146254143201</v>
      </c>
      <c r="K6" s="143">
        <f t="shared" ref="K6:K69" si="8">(($B$1*($K$4^2-1)^0.5)/A6)*(180/PI())</f>
        <v>51.514712786883209</v>
      </c>
      <c r="L6" s="144">
        <f t="shared" ref="L6:L69" si="9">(($B$1*($L$4^2-1)^0.5)/A6)*(180/PI())</f>
        <v>63.591142042808727</v>
      </c>
      <c r="N6" t="s">
        <v>200</v>
      </c>
      <c r="W6" s="139" t="s">
        <v>205</v>
      </c>
      <c r="X6" s="139"/>
      <c r="Y6" s="139"/>
      <c r="Z6" s="139"/>
      <c r="AA6" s="139"/>
      <c r="AB6" s="139"/>
      <c r="AC6" s="139"/>
      <c r="AD6" s="139"/>
      <c r="AF6" s="139" t="s">
        <v>208</v>
      </c>
      <c r="AG6" s="139"/>
      <c r="AH6" s="139"/>
      <c r="AI6" s="139"/>
      <c r="AJ6" s="139"/>
      <c r="AK6" s="139"/>
      <c r="AL6" s="139"/>
      <c r="AM6" s="139"/>
    </row>
    <row r="7" spans="1:39">
      <c r="A7" s="142">
        <f t="shared" ref="A7:A69" si="10">A6+5</f>
        <v>30</v>
      </c>
      <c r="B7" s="143">
        <f t="shared" si="0"/>
        <v>0.13830795622833195</v>
      </c>
      <c r="C7" s="143">
        <f t="shared" si="1"/>
        <v>8.2057540458707862E-2</v>
      </c>
      <c r="D7" s="143">
        <f t="shared" si="2"/>
        <v>5.2967914604552822E-2</v>
      </c>
      <c r="E7" s="143">
        <f t="shared" si="3"/>
        <v>4.0039979859815111E-2</v>
      </c>
      <c r="F7" s="143">
        <f t="shared" si="4"/>
        <v>3.2436090880116848E-2</v>
      </c>
      <c r="G7" s="143"/>
      <c r="H7" s="143">
        <f t="shared" si="5"/>
        <v>12.427870617615012</v>
      </c>
      <c r="I7" s="143">
        <f t="shared" si="6"/>
        <v>20.947171652767523</v>
      </c>
      <c r="J7" s="143">
        <f t="shared" si="7"/>
        <v>32.451218784526681</v>
      </c>
      <c r="K7" s="143">
        <f t="shared" si="8"/>
        <v>42.928927322402672</v>
      </c>
      <c r="L7" s="144">
        <f t="shared" si="9"/>
        <v>52.992618369007275</v>
      </c>
      <c r="N7" s="149">
        <f>((4*$O$1*$O$4/$Q$1)/(DATOS!B24*$U$1/$O$4))^0.5</f>
        <v>62.472422737468527</v>
      </c>
      <c r="O7" s="149">
        <f>((4*$O$1*$O$4/$Q$1)/(DATOS!C24*$U$1/$O$4))^0.5</f>
        <v>67.214922475895406</v>
      </c>
      <c r="P7" s="149">
        <f>((4*$O$1*$O$4/$Q$1)/(DATOS!D24*$U$1/$O$4))^0.5</f>
        <v>72.506130608481797</v>
      </c>
      <c r="Q7" s="149">
        <f>((4*$O$1*$O$4/$Q$1)/(DATOS!E24*$U$1/$O$4))^0.5</f>
        <v>78.433034733163296</v>
      </c>
      <c r="R7" s="149">
        <f>((4*$O$1*$O$4/$Q$1)/(DATOS!F24*$U$1/$O$4))^0.5</f>
        <v>85.1004349066678</v>
      </c>
      <c r="S7" s="149">
        <f>((4*$O$1*$O$4/$Q$1)/(DATOS!G24*$U$1/$O$4))^0.5</f>
        <v>92.635482943468645</v>
      </c>
      <c r="T7" s="149">
        <f>((4*$O$1*$O$4/$Q$1)/(DATOS!H24*$U$1/$O$4))^0.5</f>
        <v>101.19362541083288</v>
      </c>
      <c r="U7" s="149">
        <f>((4*$O$1*$O$4/$Q$1)/(DATOS!I24*$U$1/$O$4))^0.5</f>
        <v>110.96646763121171</v>
      </c>
      <c r="V7" t="s">
        <v>256</v>
      </c>
      <c r="W7" s="149">
        <f>((4*$O$1*$X$4/$Q$1)/(DATOS!B24*$U$1/$X$4))^0.5</f>
        <v>55.176686650339612</v>
      </c>
      <c r="X7" s="149">
        <f>((4*$O$1*$X$4/$Q$1)/(DATOS!C24*$U$1/$X$4))^0.5</f>
        <v>59.365341588633754</v>
      </c>
      <c r="Y7" s="149">
        <f>((4*$O$1*$X$4/$Q$1)/(DATOS!D24*$U$1/$X$4))^0.5</f>
        <v>64.038624940559018</v>
      </c>
      <c r="Z7" s="149">
        <f>((4*$O$1*$X$4/$Q$1)/(DATOS!E24*$U$1/$X$4))^0.5</f>
        <v>69.2733656047468</v>
      </c>
      <c r="AA7" s="149">
        <f>((4*$O$1*$X$4/$Q$1)/(DATOS!F24*$U$1/$X$4))^0.5</f>
        <v>75.162124740787704</v>
      </c>
      <c r="AB7" s="149">
        <f>((4*$O$1*$X$4/$Q$1)/(DATOS!G24*$U$1/$X$4))^0.5</f>
        <v>81.81720495384404</v>
      </c>
      <c r="AC7" s="149">
        <f>((4*$O$1*$X$4/$Q$1)/(DATOS!H24*$U$1/$X$4))^0.5</f>
        <v>89.375899247086295</v>
      </c>
      <c r="AD7" s="149">
        <f>((4*$O$1*$X$4/$Q$1)/(DATOS!I24*$U$1/$X$4))^0.5</f>
        <v>98.007436639882812</v>
      </c>
      <c r="AF7" s="149">
        <f>((4*$O$1*$AG$4/$Q$1)/(DATOS!B24*$U$1/$AG$4))^0.5</f>
        <v>46.891871933082776</v>
      </c>
      <c r="AG7" s="149">
        <f>((4*$O$1*$AG$4/$Q$1)/(DATOS!C24*$U$1/$AG$4))^0.5</f>
        <v>50.451597658968758</v>
      </c>
      <c r="AH7" s="149">
        <f>((4*$O$1*$AG$4/$Q$1)/(DATOS!D24*$U$1/$AG$4))^0.5</f>
        <v>54.423184532863409</v>
      </c>
      <c r="AI7" s="149">
        <f>((4*$O$1*$AG$4/$Q$1)/(DATOS!E24*$U$1/$AG$4))^0.5</f>
        <v>58.871925545232337</v>
      </c>
      <c r="AJ7" s="149">
        <f>((4*$O$1*$AG$4/$Q$1)/(DATOS!F24*$U$1/$AG$4))^0.5</f>
        <v>63.876483738476104</v>
      </c>
      <c r="AK7" s="149">
        <f>((4*$O$1*$AG$4/$Q$1)/(DATOS!G24*$U$1/$AG$4))^0.5</f>
        <v>69.532299409914387</v>
      </c>
      <c r="AL7" s="149">
        <f>((4*$O$1*$AG$4/$Q$1)/(DATOS!H24*$U$1/$AG$4))^0.5</f>
        <v>75.95605093066392</v>
      </c>
      <c r="AM7" s="149">
        <f>((4*$O$1*$AG$4/$Q$1)/(DATOS!I24*$U$1/$AG$4))^0.5</f>
        <v>83.291557474823875</v>
      </c>
    </row>
    <row r="8" spans="1:39">
      <c r="A8" s="142">
        <f t="shared" si="10"/>
        <v>35</v>
      </c>
      <c r="B8" s="143">
        <f t="shared" si="0"/>
        <v>0.18825249597745181</v>
      </c>
      <c r="C8" s="143">
        <f t="shared" si="1"/>
        <v>0.11168943006879682</v>
      </c>
      <c r="D8" s="143">
        <f t="shared" si="2"/>
        <v>7.2095217100641346E-2</v>
      </c>
      <c r="E8" s="143">
        <f t="shared" si="3"/>
        <v>5.4498861475859466E-2</v>
      </c>
      <c r="F8" s="143">
        <f t="shared" si="4"/>
        <v>4.4149123697936832E-2</v>
      </c>
      <c r="G8" s="143"/>
      <c r="H8" s="143">
        <f t="shared" si="5"/>
        <v>10.652460529384296</v>
      </c>
      <c r="I8" s="143">
        <f t="shared" si="6"/>
        <v>17.954718559515019</v>
      </c>
      <c r="J8" s="143">
        <f t="shared" si="7"/>
        <v>27.815330386737152</v>
      </c>
      <c r="K8" s="143">
        <f t="shared" si="8"/>
        <v>36.796223419202285</v>
      </c>
      <c r="L8" s="144">
        <f t="shared" si="9"/>
        <v>45.422244316291952</v>
      </c>
      <c r="N8" t="s">
        <v>201</v>
      </c>
      <c r="W8" s="139" t="s">
        <v>201</v>
      </c>
      <c r="X8" s="139"/>
      <c r="Y8" s="139"/>
      <c r="Z8" s="139"/>
      <c r="AA8" s="139"/>
      <c r="AB8" s="139"/>
      <c r="AC8" s="139"/>
      <c r="AD8" s="139"/>
      <c r="AF8" s="139" t="s">
        <v>201</v>
      </c>
      <c r="AG8" s="139"/>
      <c r="AH8" s="139"/>
      <c r="AI8" s="139"/>
      <c r="AJ8" s="139"/>
      <c r="AK8" s="139"/>
      <c r="AL8" s="139"/>
      <c r="AM8" s="139"/>
    </row>
    <row r="9" spans="1:39">
      <c r="A9" s="142">
        <f t="shared" si="10"/>
        <v>40</v>
      </c>
      <c r="B9" s="143">
        <f t="shared" si="0"/>
        <v>0.24588081107259013</v>
      </c>
      <c r="C9" s="143">
        <f t="shared" si="1"/>
        <v>0.14588007192659178</v>
      </c>
      <c r="D9" s="143">
        <f t="shared" si="2"/>
        <v>9.4165181519205027E-2</v>
      </c>
      <c r="E9" s="143">
        <f t="shared" si="3"/>
        <v>7.1182186417449084E-2</v>
      </c>
      <c r="F9" s="143">
        <f t="shared" si="4"/>
        <v>5.7664161564652185E-2</v>
      </c>
      <c r="G9" s="143"/>
      <c r="H9" s="143">
        <f t="shared" si="5"/>
        <v>9.3209029632112603</v>
      </c>
      <c r="I9" s="143">
        <f t="shared" si="6"/>
        <v>15.710378739575642</v>
      </c>
      <c r="J9" s="143">
        <f t="shared" si="7"/>
        <v>24.338414088395009</v>
      </c>
      <c r="K9" s="143">
        <f t="shared" si="8"/>
        <v>32.196695491801997</v>
      </c>
      <c r="L9" s="144">
        <f t="shared" si="9"/>
        <v>39.744463776755452</v>
      </c>
      <c r="N9" s="148">
        <f>((2*$O$4*$Q$4)/(DATOS!B24*$Q$1*$W$1))^0.5</f>
        <v>100.17327859603945</v>
      </c>
      <c r="O9" s="148">
        <f>((2*$O$4*$Q$4)/(DATOS!C24*$Q$1*$W$1))^0.5</f>
        <v>107.77778193882641</v>
      </c>
      <c r="P9" s="148">
        <f>((2*$O$4*$Q$4)/(DATOS!D24*$Q$1*$W$1))^0.5</f>
        <v>116.26212820153845</v>
      </c>
      <c r="Q9" s="148">
        <f>((2*$O$4*$Q$4)/(DATOS!E24*$Q$1*$W$1))^0.5</f>
        <v>125.76580025518599</v>
      </c>
      <c r="R9" s="148">
        <f>((2*$O$4*$Q$4)/(DATOS!F24*$Q$1*$W$1))^0.5</f>
        <v>136.45684289168631</v>
      </c>
      <c r="S9" s="148">
        <f>((2*$O$4*$Q$4)/(DATOS!G24*$Q$1*$W$1))^0.5</f>
        <v>148.53914149881692</v>
      </c>
      <c r="T9" s="148">
        <f>((2*$O$4*$Q$4)/(DATOS!H24*$Q$1*$W$1))^0.5</f>
        <v>162.26195153374294</v>
      </c>
      <c r="U9" s="148">
        <f>((2*$O$4*$Q$4)/(DATOS!I24*$Q$1*$W$1))^0.5</f>
        <v>177.93250829334167</v>
      </c>
      <c r="W9" s="148">
        <f>((2*$X$4*$Z$4)/(DATOS!B24*$Q$1*$W$1))^0.5</f>
        <v>94.254279772347758</v>
      </c>
      <c r="X9" s="148">
        <f>((2*$X$4*$Z$4)/(DATOS!C24*$Q$1*$W$1))^0.5</f>
        <v>101.40945124767903</v>
      </c>
      <c r="Y9" s="148">
        <f>((2*$X$4*$Z$4)/(DATOS!D24*$Q$1*$W$1))^0.5</f>
        <v>109.39247783459909</v>
      </c>
      <c r="Z9" s="148">
        <f>((2*$X$4*$Z$4)/(DATOS!E24*$Q$1*$W$1))^0.5</f>
        <v>118.33460069574058</v>
      </c>
      <c r="AA9" s="148">
        <f>((2*$X$4*$Z$4)/(DATOS!F24*$Q$1*$W$1))^0.5</f>
        <v>128.39393525922605</v>
      </c>
      <c r="AB9" s="148">
        <f>((2*$X$4*$Z$4)/(DATOS!G24*$Q$1*$W$1))^0.5</f>
        <v>139.76231981417223</v>
      </c>
      <c r="AC9" s="148">
        <f>((2*$X$4*$Z$4)/(DATOS!H24*$Q$1*$W$1))^0.5</f>
        <v>152.67428191047762</v>
      </c>
      <c r="AD9" s="148">
        <f>((2*$X$4*$Z$4)/(DATOS!I24*$Q$1*$W$1))^0.5</f>
        <v>167.4189030480558</v>
      </c>
      <c r="AF9" s="148">
        <f>((2*$AG$4*$AI$4)/(DATOS!B24*$Q$1*$W$1))^0.5</f>
        <v>86.991654420161439</v>
      </c>
      <c r="AG9" s="148">
        <f>((2*$AG$4*$AI$4)/(DATOS!C24*$Q$1*$W$1))^0.5</f>
        <v>93.595494646858782</v>
      </c>
      <c r="AH9" s="148">
        <f>((2*$AG$4*$AI$4)/(DATOS!D24*$Q$1*$W$1))^0.5</f>
        <v>100.96340082314734</v>
      </c>
      <c r="AI9" s="148">
        <f>((2*$AG$4*$AI$4)/(DATOS!E24*$Q$1*$W$1))^0.5</f>
        <v>109.21650151627111</v>
      </c>
      <c r="AJ9" s="148">
        <f>((2*$AG$4*$AI$4)/(DATOS!F24*$Q$1*$W$1))^0.5</f>
        <v>118.50072880183404</v>
      </c>
      <c r="AK9" s="148">
        <f>((2*$AG$4*$AI$4)/(DATOS!G24*$Q$1*$W$1))^0.5</f>
        <v>128.99313915081768</v>
      </c>
      <c r="AL9" s="148">
        <f>((2*$AG$4*$AI$4)/(DATOS!H24*$Q$1*$W$1))^0.5</f>
        <v>140.91018893657767</v>
      </c>
      <c r="AM9" s="148">
        <f>((2*$AG$4*$AI$4)/(DATOS!I24*$Q$1*$W$1))^0.5</f>
        <v>154.51868490784193</v>
      </c>
    </row>
    <row r="10" spans="1:39">
      <c r="A10" s="142">
        <f t="shared" si="10"/>
        <v>45</v>
      </c>
      <c r="B10" s="143">
        <f t="shared" si="0"/>
        <v>0.31119290151374684</v>
      </c>
      <c r="C10" s="143">
        <f t="shared" si="1"/>
        <v>0.18462946603209271</v>
      </c>
      <c r="D10" s="143">
        <f t="shared" si="2"/>
        <v>0.11917780786024386</v>
      </c>
      <c r="E10" s="143">
        <f t="shared" si="3"/>
        <v>9.0089954684584E-2</v>
      </c>
      <c r="F10" s="143">
        <f t="shared" si="4"/>
        <v>7.2981204480262921E-2</v>
      </c>
      <c r="G10" s="143"/>
      <c r="H10" s="143">
        <f t="shared" si="5"/>
        <v>8.2852470784100074</v>
      </c>
      <c r="I10" s="143">
        <f t="shared" si="6"/>
        <v>13.964781101845016</v>
      </c>
      <c r="J10" s="143">
        <f t="shared" si="7"/>
        <v>21.634145856351118</v>
      </c>
      <c r="K10" s="143">
        <f t="shared" si="8"/>
        <v>28.619284881601779</v>
      </c>
      <c r="L10" s="144">
        <f t="shared" si="9"/>
        <v>35.328412246004852</v>
      </c>
    </row>
    <row r="11" spans="1:39">
      <c r="A11" s="142">
        <f t="shared" si="10"/>
        <v>50</v>
      </c>
      <c r="B11" s="143">
        <f t="shared" si="0"/>
        <v>0.38418876730092205</v>
      </c>
      <c r="C11" s="143">
        <f t="shared" si="1"/>
        <v>0.22793761238529964</v>
      </c>
      <c r="D11" s="143">
        <f t="shared" si="2"/>
        <v>0.14713309612375783</v>
      </c>
      <c r="E11" s="143">
        <f t="shared" si="3"/>
        <v>0.11122216627726421</v>
      </c>
      <c r="F11" s="143">
        <f t="shared" si="4"/>
        <v>9.0100252444769047E-2</v>
      </c>
      <c r="G11" s="143"/>
      <c r="H11" s="143">
        <f t="shared" si="5"/>
        <v>7.4567223705690067</v>
      </c>
      <c r="I11" s="143">
        <f t="shared" si="6"/>
        <v>12.568302991660515</v>
      </c>
      <c r="J11" s="143">
        <f t="shared" si="7"/>
        <v>19.470731270716005</v>
      </c>
      <c r="K11" s="143">
        <f t="shared" si="8"/>
        <v>25.757356393441604</v>
      </c>
      <c r="L11" s="144">
        <f t="shared" si="9"/>
        <v>31.795571021404363</v>
      </c>
    </row>
    <row r="12" spans="1:39">
      <c r="A12" s="142">
        <f t="shared" si="10"/>
        <v>55</v>
      </c>
      <c r="B12" s="143">
        <f t="shared" si="0"/>
        <v>0.4648684084341157</v>
      </c>
      <c r="C12" s="143">
        <f t="shared" si="1"/>
        <v>0.27580451098621256</v>
      </c>
      <c r="D12" s="143">
        <f t="shared" si="2"/>
        <v>0.17803104630974698</v>
      </c>
      <c r="E12" s="143">
        <f t="shared" si="3"/>
        <v>0.1345788211954897</v>
      </c>
      <c r="F12" s="143">
        <f t="shared" si="4"/>
        <v>0.10902130545817053</v>
      </c>
      <c r="G12" s="143"/>
      <c r="H12" s="143">
        <f t="shared" si="5"/>
        <v>6.7788385186990983</v>
      </c>
      <c r="I12" s="143">
        <f t="shared" si="6"/>
        <v>11.425729992418649</v>
      </c>
      <c r="J12" s="143">
        <f t="shared" si="7"/>
        <v>17.700664791560008</v>
      </c>
      <c r="K12" s="143">
        <f t="shared" si="8"/>
        <v>23.415778539492365</v>
      </c>
      <c r="L12" s="144">
        <f t="shared" si="9"/>
        <v>28.905064564913058</v>
      </c>
    </row>
    <row r="13" spans="1:39">
      <c r="A13" s="142">
        <f t="shared" si="10"/>
        <v>60</v>
      </c>
      <c r="B13" s="143">
        <f t="shared" si="0"/>
        <v>0.55323182491332779</v>
      </c>
      <c r="C13" s="143">
        <f t="shared" si="1"/>
        <v>0.32823016183483145</v>
      </c>
      <c r="D13" s="143">
        <f t="shared" si="2"/>
        <v>0.21187165841821129</v>
      </c>
      <c r="E13" s="143">
        <f t="shared" si="3"/>
        <v>0.16015991943926045</v>
      </c>
      <c r="F13" s="143">
        <f t="shared" si="4"/>
        <v>0.12974436352046739</v>
      </c>
      <c r="G13" s="143"/>
      <c r="H13" s="143">
        <f t="shared" si="5"/>
        <v>6.213935308807506</v>
      </c>
      <c r="I13" s="143">
        <f t="shared" si="6"/>
        <v>10.473585826383761</v>
      </c>
      <c r="J13" s="143">
        <f t="shared" si="7"/>
        <v>16.22560939226334</v>
      </c>
      <c r="K13" s="143">
        <f t="shared" si="8"/>
        <v>21.464463661201336</v>
      </c>
      <c r="L13" s="144">
        <f t="shared" si="9"/>
        <v>26.496309184503637</v>
      </c>
    </row>
    <row r="14" spans="1:39">
      <c r="A14" s="142">
        <f t="shared" si="10"/>
        <v>65</v>
      </c>
      <c r="B14" s="143">
        <f t="shared" si="0"/>
        <v>0.64927901673855837</v>
      </c>
      <c r="C14" s="143">
        <f t="shared" si="1"/>
        <v>0.38521456493115636</v>
      </c>
      <c r="D14" s="143">
        <f t="shared" si="2"/>
        <v>0.24865493244915077</v>
      </c>
      <c r="E14" s="143">
        <f t="shared" si="3"/>
        <v>0.18796546100857653</v>
      </c>
      <c r="F14" s="143">
        <f t="shared" si="4"/>
        <v>0.15226942663165968</v>
      </c>
      <c r="G14" s="143"/>
      <c r="H14" s="143">
        <f t="shared" si="5"/>
        <v>5.7359402850530827</v>
      </c>
      <c r="I14" s="143">
        <f t="shared" si="6"/>
        <v>9.6679253782003958</v>
      </c>
      <c r="J14" s="143">
        <f t="shared" si="7"/>
        <v>14.977485592858466</v>
      </c>
      <c r="K14" s="143">
        <f t="shared" si="8"/>
        <v>19.813351071878156</v>
      </c>
      <c r="L14" s="144">
        <f t="shared" si="9"/>
        <v>24.458131554926435</v>
      </c>
    </row>
    <row r="15" spans="1:39">
      <c r="A15" s="142">
        <f t="shared" si="10"/>
        <v>70</v>
      </c>
      <c r="B15" s="143">
        <f t="shared" si="0"/>
        <v>0.75300998390980722</v>
      </c>
      <c r="C15" s="143">
        <f t="shared" si="1"/>
        <v>0.44675772027518729</v>
      </c>
      <c r="D15" s="143">
        <f t="shared" si="2"/>
        <v>0.28838086840256538</v>
      </c>
      <c r="E15" s="143">
        <f t="shared" si="3"/>
        <v>0.21799544590343786</v>
      </c>
      <c r="F15" s="143">
        <f t="shared" si="4"/>
        <v>0.17659649479174733</v>
      </c>
      <c r="G15" s="143"/>
      <c r="H15" s="143">
        <f t="shared" si="5"/>
        <v>5.326230264692148</v>
      </c>
      <c r="I15" s="143">
        <f t="shared" si="6"/>
        <v>8.9773592797575095</v>
      </c>
      <c r="J15" s="143">
        <f t="shared" si="7"/>
        <v>13.907665193368576</v>
      </c>
      <c r="K15" s="143">
        <f t="shared" si="8"/>
        <v>18.398111709601142</v>
      </c>
      <c r="L15" s="144">
        <f t="shared" si="9"/>
        <v>22.711122158145976</v>
      </c>
      <c r="N15" s="139" t="s">
        <v>64</v>
      </c>
      <c r="O15" s="139" t="s">
        <v>78</v>
      </c>
      <c r="P15" s="139" t="s">
        <v>80</v>
      </c>
      <c r="Q15" s="139" t="s">
        <v>82</v>
      </c>
      <c r="R15" s="139" t="s">
        <v>83</v>
      </c>
      <c r="S15" s="139" t="s">
        <v>84</v>
      </c>
      <c r="T15" s="139" t="s">
        <v>85</v>
      </c>
      <c r="U15" s="139" t="s">
        <v>86</v>
      </c>
      <c r="W15" s="139" t="s">
        <v>64</v>
      </c>
      <c r="X15" s="139" t="s">
        <v>78</v>
      </c>
      <c r="Y15" s="139" t="s">
        <v>80</v>
      </c>
      <c r="Z15" s="139" t="s">
        <v>82</v>
      </c>
      <c r="AA15" s="139" t="s">
        <v>83</v>
      </c>
      <c r="AB15" s="139" t="s">
        <v>84</v>
      </c>
      <c r="AC15" s="139" t="s">
        <v>85</v>
      </c>
      <c r="AD15" s="139" t="s">
        <v>86</v>
      </c>
      <c r="AF15" s="139" t="s">
        <v>64</v>
      </c>
      <c r="AG15" s="139" t="s">
        <v>78</v>
      </c>
      <c r="AH15" s="139" t="s">
        <v>80</v>
      </c>
      <c r="AI15" s="139" t="s">
        <v>82</v>
      </c>
      <c r="AJ15" s="139" t="s">
        <v>83</v>
      </c>
      <c r="AK15" s="139" t="s">
        <v>84</v>
      </c>
      <c r="AL15" s="139" t="s">
        <v>85</v>
      </c>
      <c r="AM15" s="139" t="s">
        <v>86</v>
      </c>
    </row>
    <row r="16" spans="1:39">
      <c r="A16" s="142">
        <f t="shared" si="10"/>
        <v>75</v>
      </c>
      <c r="B16" s="143">
        <f t="shared" si="0"/>
        <v>0.86442472642707457</v>
      </c>
      <c r="C16" s="143">
        <f t="shared" si="1"/>
        <v>0.51285962786692418</v>
      </c>
      <c r="D16" s="143">
        <f t="shared" si="2"/>
        <v>0.33104946627845516</v>
      </c>
      <c r="E16" s="143">
        <f t="shared" si="3"/>
        <v>0.25024987412384447</v>
      </c>
      <c r="F16" s="143">
        <f t="shared" si="4"/>
        <v>0.20272556800073033</v>
      </c>
      <c r="G16" s="143"/>
      <c r="H16" s="143">
        <f t="shared" si="5"/>
        <v>4.9711482470460053</v>
      </c>
      <c r="I16" s="143">
        <f t="shared" si="6"/>
        <v>8.378868661107008</v>
      </c>
      <c r="J16" s="143">
        <f t="shared" si="7"/>
        <v>12.980487513810672</v>
      </c>
      <c r="K16" s="143">
        <f t="shared" si="8"/>
        <v>17.171570928961067</v>
      </c>
      <c r="L16" s="144">
        <f t="shared" si="9"/>
        <v>21.197047347602911</v>
      </c>
      <c r="N16" s="139" t="s">
        <v>209</v>
      </c>
      <c r="O16" s="139">
        <f>DATOS!M12*9.81</f>
        <v>1913391.4500000002</v>
      </c>
      <c r="P16" s="139" t="s">
        <v>210</v>
      </c>
      <c r="Q16" s="139">
        <f>(($U$1/$O$16)/($O$1*$S$1)^0.5-1)^0.5</f>
        <v>2.9523846015166999</v>
      </c>
      <c r="R16" s="139"/>
      <c r="S16" s="139"/>
      <c r="T16" s="139"/>
      <c r="U16" s="139"/>
      <c r="V16" s="139"/>
      <c r="W16" s="139" t="s">
        <v>209</v>
      </c>
      <c r="X16" s="139">
        <f>DATOS!M13*9.81</f>
        <v>1689939.27</v>
      </c>
      <c r="Y16" s="139" t="s">
        <v>210</v>
      </c>
      <c r="Z16" s="139">
        <f>(($U$1/$X$16)/($O$1*$S$1)^0.5-1)^0.5</f>
        <v>3.1624909032311774</v>
      </c>
      <c r="AA16" s="139"/>
      <c r="AB16" s="139"/>
      <c r="AC16" s="139"/>
      <c r="AD16" s="139"/>
      <c r="AF16" s="139" t="s">
        <v>209</v>
      </c>
      <c r="AG16" s="139">
        <f>DATOS!M14*9.81</f>
        <v>1436193.81</v>
      </c>
      <c r="AH16" s="139" t="s">
        <v>210</v>
      </c>
      <c r="AI16" s="139">
        <f>(($U$1/$AG$16)/($O$1*$S$1)^0.5-1)^0.5</f>
        <v>3.4561622262182166</v>
      </c>
      <c r="AJ16" s="139"/>
      <c r="AK16" s="139"/>
      <c r="AL16" s="139"/>
      <c r="AM16" s="139"/>
    </row>
    <row r="17" spans="1:39">
      <c r="A17" s="142">
        <f t="shared" si="10"/>
        <v>80</v>
      </c>
      <c r="B17" s="143">
        <f t="shared" si="0"/>
        <v>0.98352324429036053</v>
      </c>
      <c r="C17" s="143">
        <f t="shared" si="1"/>
        <v>0.5835202877063671</v>
      </c>
      <c r="D17" s="143">
        <f t="shared" si="2"/>
        <v>0.37666072607682011</v>
      </c>
      <c r="E17" s="143">
        <f t="shared" si="3"/>
        <v>0.28472874566979633</v>
      </c>
      <c r="F17" s="143">
        <f t="shared" si="4"/>
        <v>0.23065664625860874</v>
      </c>
      <c r="G17" s="143"/>
      <c r="H17" s="143">
        <f t="shared" si="5"/>
        <v>4.6604514816056302</v>
      </c>
      <c r="I17" s="143">
        <f t="shared" si="6"/>
        <v>7.855189369787821</v>
      </c>
      <c r="J17" s="143">
        <f t="shared" si="7"/>
        <v>12.169207044197504</v>
      </c>
      <c r="K17" s="143">
        <f t="shared" si="8"/>
        <v>16.098347745900998</v>
      </c>
      <c r="L17" s="144">
        <f t="shared" si="9"/>
        <v>19.872231888377726</v>
      </c>
      <c r="N17" s="139">
        <f>9.81*((DATOS!B24/($O$16/$Q$1))*(($U$1/$O$16)/(2*$O$1)-($S$1/$O$1)^0.5))^0.5</f>
        <v>0.19790252842148046</v>
      </c>
      <c r="O17" s="139">
        <f>9.81*((DATOS!C24/($O$16/$Q$1))*(($U$1/$O$16)/(2*$O$1)-($S$1/$O$1)^0.5))^0.5</f>
        <v>0.18393907127980971</v>
      </c>
      <c r="P17" s="139">
        <f>9.81*((DATOS!D24/($O$16/$Q$1))*(($U$1/$O$16)/(2*$O$1)-($S$1/$O$1)^0.5))^0.5</f>
        <v>0.17051593172335588</v>
      </c>
      <c r="Q17" s="139">
        <f>9.81*((DATOS!E24/($O$16/$Q$1))*(($U$1/$O$16)/(2*$O$1)-($S$1/$O$1)^0.5))^0.5</f>
        <v>0.1576306521661727</v>
      </c>
      <c r="R17" s="139">
        <f>9.81*((DATOS!F24/($O$16/$Q$1))*(($U$1/$O$16)/(2*$O$1)-($S$1/$O$1)^0.5))^0.5</f>
        <v>0.14528069603780491</v>
      </c>
      <c r="S17" s="139">
        <f>9.81*((DATOS!G24/($O$16/$Q$1))*(($U$1/$O$16)/(2*$O$1)-($S$1/$O$1)^0.5))^0.5</f>
        <v>0.13346344212298733</v>
      </c>
      <c r="T17" s="139">
        <f>9.81*((DATOS!H24/($O$16/$Q$1))*(($U$1/$O$16)/(2*$O$1)-($S$1/$O$1)^0.5))^0.5</f>
        <v>0.12217617825398207</v>
      </c>
      <c r="U17" s="139">
        <f>9.81*((DATOS!I24/($O$16/$Q$1))*(($U$1/$O$16)/(2*$O$1)-($S$1/$O$1)^0.5))^0.5</f>
        <v>0.11141609425154957</v>
      </c>
      <c r="W17" s="139">
        <f>9.81*((DATOS!B24/($X$16/$Q$1))*(($U$1/$X$16)/(2*$O$1)-($S$1/$O$1)^0.5))^0.5</f>
        <v>0.2274360035717051</v>
      </c>
      <c r="X17" s="139">
        <f>9.81*((DATOS!C24/($X$16/$Q$1))*(($U$1/$X$16)/(2*$O$1)-($S$1/$O$1)^0.5))^0.5</f>
        <v>0.21138874579446854</v>
      </c>
      <c r="Y17" s="139">
        <f>9.81*((DATOS!D24/($X$16/$Q$1))*(($U$1/$X$16)/(2*$O$1)-($S$1/$O$1)^0.5))^0.5</f>
        <v>0.19596243850847347</v>
      </c>
      <c r="Z17" s="139">
        <f>9.81*((DATOS!E24/($X$16/$Q$1))*(($U$1/$X$16)/(2*$O$1)-($S$1/$O$1)^0.5))^0.5</f>
        <v>0.18115425737625182</v>
      </c>
      <c r="AA17" s="139">
        <f>9.81*((DATOS!F24/($X$16/$Q$1))*(($U$1/$X$16)/(2*$O$1)-($S$1/$O$1)^0.5))^0.5</f>
        <v>0.16696128728877624</v>
      </c>
      <c r="AB17" s="139">
        <f>9.81*((DATOS!G24/($X$16/$Q$1))*(($U$1/$X$16)/(2*$O$1)-($S$1/$O$1)^0.5))^0.5</f>
        <v>0.15338051586045892</v>
      </c>
      <c r="AC17" s="139">
        <f>9.81*((DATOS!H24/($X$16/$Q$1))*(($U$1/$X$16)/(2*$O$1)-($S$1/$O$1)^0.5))^0.5</f>
        <v>0.14040882618018083</v>
      </c>
      <c r="AD17" s="139">
        <f>9.81*((DATOS!I24/($X$16/$Q$1))*(($U$1/$X$16)/(2*$O$1)-($S$1/$O$1)^0.5))^0.5</f>
        <v>0.12804298869882674</v>
      </c>
      <c r="AF17" s="139">
        <f>9.81*((DATOS!B24/($AG$16/$Q$1))*(($U$1/$AG$16)/(2*$O$1)-($S$1/$O$1)^0.5))^0.5</f>
        <v>0.27204670259782471</v>
      </c>
      <c r="AG17" s="139">
        <f>9.81*((DATOS!C24/($AG$16/$Q$1))*(($U$1/$AG$16)/(2*$O$1)-($S$1/$O$1)^0.5))^0.5</f>
        <v>0.25285183680931234</v>
      </c>
      <c r="AH17" s="139">
        <f>9.81*((DATOS!D24/($AG$16/$Q$1))*(($U$1/$AG$16)/(2*$O$1)-($S$1/$O$1)^0.5))^0.5</f>
        <v>0.2343997185672124</v>
      </c>
      <c r="AI17" s="139">
        <f>9.81*((DATOS!E24/($AG$16/$Q$1))*(($U$1/$AG$16)/(2*$O$1)-($S$1/$O$1)^0.5))^0.5</f>
        <v>0.21668696955110453</v>
      </c>
      <c r="AJ17" s="139">
        <f>9.81*((DATOS!F24/($AG$16/$Q$1))*(($U$1/$AG$16)/(2*$O$1)-($S$1/$O$1)^0.5))^0.5</f>
        <v>0.1997101028645161</v>
      </c>
      <c r="AK17" s="139">
        <f>9.81*((DATOS!G24/($AG$16/$Q$1))*(($U$1/$AG$16)/(2*$O$1)-($S$1/$O$1)^0.5))^0.5</f>
        <v>0.18346551525399005</v>
      </c>
      <c r="AL17" s="139">
        <f>9.81*((DATOS!H24/($AG$16/$Q$1))*(($U$1/$AG$16)/(2*$O$1)-($S$1/$O$1)^0.5))^0.5</f>
        <v>0.1679494784382565</v>
      </c>
      <c r="AM17" s="139">
        <f>9.81*((DATOS!I24/($AG$16/$Q$1))*(($U$1/$AG$16)/(2*$O$1)-($S$1/$O$1)^0.5))^0.5</f>
        <v>0.15315812940453874</v>
      </c>
    </row>
    <row r="18" spans="1:39">
      <c r="A18" s="142">
        <f t="shared" si="10"/>
        <v>85</v>
      </c>
      <c r="B18" s="143">
        <f t="shared" si="0"/>
        <v>1.1103055374996649</v>
      </c>
      <c r="C18" s="143">
        <f t="shared" si="1"/>
        <v>0.65873969979351588</v>
      </c>
      <c r="D18" s="143">
        <f t="shared" si="2"/>
        <v>0.42521464779766016</v>
      </c>
      <c r="E18" s="143">
        <f t="shared" si="3"/>
        <v>0.32143206054129353</v>
      </c>
      <c r="F18" s="143">
        <f t="shared" si="4"/>
        <v>0.26038972956538253</v>
      </c>
      <c r="G18" s="143"/>
      <c r="H18" s="143">
        <f t="shared" si="5"/>
        <v>4.3863072768052991</v>
      </c>
      <c r="I18" s="143">
        <f t="shared" si="6"/>
        <v>7.3931194068591264</v>
      </c>
      <c r="J18" s="143">
        <f t="shared" si="7"/>
        <v>11.453371335715298</v>
      </c>
      <c r="K18" s="143">
        <f t="shared" si="8"/>
        <v>15.151386113789178</v>
      </c>
      <c r="L18" s="144">
        <f t="shared" si="9"/>
        <v>18.70327707141433</v>
      </c>
      <c r="N18" s="139" t="s">
        <v>211</v>
      </c>
      <c r="O18" s="139"/>
      <c r="P18" s="139"/>
      <c r="Q18" s="139"/>
      <c r="R18" s="139"/>
      <c r="S18" s="139"/>
      <c r="T18" s="139"/>
      <c r="U18" s="139"/>
      <c r="W18" s="139" t="s">
        <v>211</v>
      </c>
      <c r="X18" s="139"/>
      <c r="Y18" s="139"/>
      <c r="Z18" s="139"/>
      <c r="AA18" s="139"/>
      <c r="AB18" s="139"/>
      <c r="AC18" s="139"/>
      <c r="AD18" s="139"/>
      <c r="AF18" s="139" t="s">
        <v>211</v>
      </c>
      <c r="AG18" s="139"/>
      <c r="AH18" s="139"/>
      <c r="AI18" s="139"/>
      <c r="AJ18" s="139"/>
      <c r="AK18" s="139"/>
      <c r="AL18" s="139"/>
      <c r="AM18" s="139"/>
    </row>
    <row r="19" spans="1:39">
      <c r="A19" s="142">
        <f t="shared" si="10"/>
        <v>90</v>
      </c>
      <c r="B19" s="143">
        <f t="shared" si="0"/>
        <v>1.2447716060549874</v>
      </c>
      <c r="C19" s="143">
        <f t="shared" si="1"/>
        <v>0.73851786412837084</v>
      </c>
      <c r="D19" s="143">
        <f t="shared" si="2"/>
        <v>0.47671123144097544</v>
      </c>
      <c r="E19" s="143">
        <f t="shared" si="3"/>
        <v>0.360359818738336</v>
      </c>
      <c r="F19" s="143">
        <f t="shared" si="4"/>
        <v>0.29192481792105168</v>
      </c>
      <c r="G19" s="143"/>
      <c r="H19" s="143">
        <f t="shared" si="5"/>
        <v>4.1426235392050037</v>
      </c>
      <c r="I19" s="143">
        <f t="shared" si="6"/>
        <v>6.9823905509225082</v>
      </c>
      <c r="J19" s="143">
        <f t="shared" si="7"/>
        <v>10.817072928175559</v>
      </c>
      <c r="K19" s="143">
        <f t="shared" si="8"/>
        <v>14.309642440800889</v>
      </c>
      <c r="L19" s="144">
        <f t="shared" si="9"/>
        <v>17.664206123002426</v>
      </c>
      <c r="N19" s="149">
        <f>((2*($O$16/$Q$1)/DATOS!B24)^0.5)*($O$1/$S$1)^0.25</f>
        <v>137.69873505755271</v>
      </c>
      <c r="O19" s="149">
        <f>((2*($O$16/$Q$1)/DATOS!C24)^0.5)*($O$1/$S$1)^0.25</f>
        <v>148.15192682404538</v>
      </c>
      <c r="P19" s="149">
        <f>((2*($O$16/$Q$1)/DATOS!D24)^0.5)*($O$1/$S$1)^0.25</f>
        <v>159.81455546652961</v>
      </c>
      <c r="Q19" s="149">
        <f>((2*($O$16/$Q$1)/DATOS!E24)^0.5)*($O$1/$S$1)^0.25</f>
        <v>172.87835490017238</v>
      </c>
      <c r="R19" s="149">
        <f>((2*($O$16/$Q$1)/DATOS!F24)^0.5)*($O$1/$S$1)^0.25</f>
        <v>187.57432041238295</v>
      </c>
      <c r="S19" s="149">
        <f>((2*($O$16/$Q$1)/DATOS!G24)^0.5)*($O$1/$S$1)^0.25</f>
        <v>204.18271396909833</v>
      </c>
      <c r="T19" s="149">
        <f>((2*($O$16/$Q$1)/DATOS!H24)^0.5)*($O$1/$S$1)^0.25</f>
        <v>223.04616348106345</v>
      </c>
      <c r="U19" s="149">
        <f>((2*($O$16/$Q$1)/DATOS!I24)^0.5)*($O$1/$S$1)^0.25</f>
        <v>244.58699626288714</v>
      </c>
      <c r="W19" s="149">
        <f>((2*($X$16/$Q$1)/DATOS!B24)^0.5)*($O$1/$S$1)^0.25</f>
        <v>129.40873301047259</v>
      </c>
      <c r="X19" s="149">
        <f>((2*($X$16/$Q$1)/DATOS!C24)^0.5)*($O$1/$S$1)^0.25</f>
        <v>139.23260177623814</v>
      </c>
      <c r="Y19" s="149">
        <f>((2*($X$16/$Q$1)/DATOS!D24)^0.5)*($O$1/$S$1)^0.25</f>
        <v>150.19309459096681</v>
      </c>
      <c r="Z19" s="149">
        <f>((2*($X$16/$Q$1)/DATOS!E24)^0.5)*($O$1/$S$1)^0.25</f>
        <v>162.47040223873896</v>
      </c>
      <c r="AA19" s="149">
        <f>((2*($X$16/$Q$1)/DATOS!F24)^0.5)*($O$1/$S$1)^0.25</f>
        <v>176.2816131878148</v>
      </c>
      <c r="AB19" s="149">
        <f>((2*($X$16/$Q$1)/DATOS!G24)^0.5)*($O$1/$S$1)^0.25</f>
        <v>191.89011653837591</v>
      </c>
      <c r="AC19" s="149">
        <f>((2*($X$16/$Q$1)/DATOS!H24)^0.5)*($O$1/$S$1)^0.25</f>
        <v>209.6179126617763</v>
      </c>
      <c r="AD19" s="149">
        <f>((2*($X$16/$Q$1)/DATOS!I24)^0.5)*($O$1/$S$1)^0.25</f>
        <v>229.86190311761573</v>
      </c>
      <c r="AF19" s="149">
        <f>((2*($AG$16/$Q$1)/DATOS!B24)^0.5)*($O$1/$S$1)^0.25</f>
        <v>119.29838419213853</v>
      </c>
      <c r="AG19" s="149">
        <f>((2*($AG$16/$Q$1)/DATOS!C24)^0.5)*($O$1/$S$1)^0.25</f>
        <v>128.3547410778566</v>
      </c>
      <c r="AH19" s="149">
        <f>((2*($AG$16/$Q$1)/DATOS!D24)^0.5)*($O$1/$S$1)^0.25</f>
        <v>138.45892069795119</v>
      </c>
      <c r="AI19" s="149">
        <f>((2*($AG$16/$Q$1)/DATOS!E24)^0.5)*($O$1/$S$1)^0.25</f>
        <v>149.77703602553476</v>
      </c>
      <c r="AJ19" s="149">
        <f>((2*($AG$16/$Q$1)/DATOS!F24)^0.5)*($O$1/$S$1)^0.25</f>
        <v>162.50921500319453</v>
      </c>
      <c r="AK19" s="149">
        <f>((2*($AG$16/$Q$1)/DATOS!G24)^0.5)*($O$1/$S$1)^0.25</f>
        <v>176.89826886425678</v>
      </c>
      <c r="AL19" s="149">
        <f>((2*($AG$16/$Q$1)/DATOS!H24)^0.5)*($O$1/$S$1)^0.25</f>
        <v>193.2410409756117</v>
      </c>
      <c r="AM19" s="149">
        <f>((2*($AG$16/$Q$1)/DATOS!I24)^0.5)*($O$1/$S$1)^0.25</f>
        <v>211.90342406831434</v>
      </c>
    </row>
    <row r="20" spans="1:39">
      <c r="A20" s="142">
        <f t="shared" si="10"/>
        <v>95</v>
      </c>
      <c r="B20" s="143">
        <f t="shared" si="0"/>
        <v>1.3869214499563287</v>
      </c>
      <c r="C20" s="143">
        <f t="shared" si="1"/>
        <v>0.82285478071093165</v>
      </c>
      <c r="D20" s="143">
        <f t="shared" si="2"/>
        <v>0.53115047700676588</v>
      </c>
      <c r="E20" s="143">
        <f t="shared" si="3"/>
        <v>0.40151202026092381</v>
      </c>
      <c r="F20" s="143">
        <f t="shared" si="4"/>
        <v>0.32526191132561622</v>
      </c>
      <c r="G20" s="143"/>
      <c r="H20" s="143">
        <f t="shared" si="5"/>
        <v>3.9245907213521094</v>
      </c>
      <c r="I20" s="143">
        <f t="shared" si="6"/>
        <v>6.6148963114002708</v>
      </c>
      <c r="J20" s="143">
        <f t="shared" si="7"/>
        <v>10.247753300376846</v>
      </c>
      <c r="K20" s="143">
        <f t="shared" si="8"/>
        <v>13.556503364969265</v>
      </c>
      <c r="L20" s="144">
        <f t="shared" si="9"/>
        <v>16.734511063897035</v>
      </c>
      <c r="N20" s="139" t="s">
        <v>212</v>
      </c>
      <c r="O20" s="139"/>
      <c r="P20" s="139"/>
      <c r="Q20" s="139"/>
      <c r="R20" s="139"/>
      <c r="S20" s="139"/>
      <c r="T20" s="139"/>
      <c r="U20" s="139"/>
      <c r="W20" s="139" t="s">
        <v>212</v>
      </c>
      <c r="X20" s="139"/>
      <c r="Y20" s="139"/>
      <c r="Z20" s="139"/>
      <c r="AA20" s="139"/>
      <c r="AB20" s="139"/>
      <c r="AC20" s="139"/>
      <c r="AD20" s="139"/>
      <c r="AF20" s="139" t="s">
        <v>212</v>
      </c>
      <c r="AG20" s="139"/>
      <c r="AH20" s="139"/>
      <c r="AI20" s="139"/>
      <c r="AJ20" s="139"/>
      <c r="AK20" s="139"/>
      <c r="AL20" s="139"/>
      <c r="AM20" s="139"/>
    </row>
    <row r="21" spans="1:39">
      <c r="A21" s="142">
        <f t="shared" si="10"/>
        <v>100</v>
      </c>
      <c r="B21" s="143">
        <f t="shared" si="0"/>
        <v>1.5367550692036882</v>
      </c>
      <c r="C21" s="143">
        <f t="shared" si="1"/>
        <v>0.91175044954119855</v>
      </c>
      <c r="D21" s="143">
        <f t="shared" si="2"/>
        <v>0.58853238449503131</v>
      </c>
      <c r="E21" s="143">
        <f t="shared" si="3"/>
        <v>0.44488866510905684</v>
      </c>
      <c r="F21" s="143">
        <f t="shared" si="4"/>
        <v>0.36040100977907619</v>
      </c>
      <c r="G21" s="143"/>
      <c r="H21" s="143">
        <f t="shared" si="5"/>
        <v>3.7283611852845033</v>
      </c>
      <c r="I21" s="143">
        <f t="shared" si="6"/>
        <v>6.2841514958302573</v>
      </c>
      <c r="J21" s="143">
        <f t="shared" si="7"/>
        <v>9.7353656353580025</v>
      </c>
      <c r="K21" s="143">
        <f t="shared" si="8"/>
        <v>12.878678196720802</v>
      </c>
      <c r="L21" s="144">
        <f t="shared" si="9"/>
        <v>15.897785510702182</v>
      </c>
      <c r="N21" s="148">
        <f>((2*$O$16*$Q$16)/(DATOS!B24*$Q$1*$W$1))^0.5</f>
        <v>145.51426378748187</v>
      </c>
      <c r="O21" s="148">
        <f>((2*$O$16*$Q$16)/(DATOS!C24*$Q$1*$W$1))^0.5</f>
        <v>156.56075962852782</v>
      </c>
      <c r="P21" s="148">
        <f>((2*$O$16*$Q$16)/(DATOS!D24*$Q$1*$W$1))^0.5</f>
        <v>168.88533777391586</v>
      </c>
      <c r="Q21" s="148">
        <f>((2*$O$16*$Q$16)/(DATOS!E24*$Q$1*$W$1))^0.5</f>
        <v>182.69061460568429</v>
      </c>
      <c r="R21" s="148">
        <f>((2*$O$16*$Q$16)/(DATOS!F24*$Q$1*$W$1))^0.5</f>
        <v>198.22069628190118</v>
      </c>
      <c r="S21" s="148">
        <f>((2*$O$16*$Q$16)/(DATOS!G24*$Q$1*$W$1))^0.5</f>
        <v>215.77175192586253</v>
      </c>
      <c r="T21" s="148">
        <f>((2*$O$16*$Q$16)/(DATOS!H24*$Q$1*$W$1))^0.5</f>
        <v>235.7058563828038</v>
      </c>
      <c r="U21" s="148">
        <f>((2*$O$16*$Q$16)/(DATOS!I24*$Q$1*$W$1))^0.5</f>
        <v>258.46930749443698</v>
      </c>
      <c r="W21" s="148">
        <f>((2*$X$16*$Z$16)/(DATOS!B24*$Q$1*$W$1))^0.5</f>
        <v>141.53614988264508</v>
      </c>
      <c r="X21" s="148">
        <f>((2*$X$16*$Z$16)/(DATOS!C24*$Q$1*$W$1))^0.5</f>
        <v>152.28065320721055</v>
      </c>
      <c r="Y21" s="148">
        <f>((2*$X$16*$Z$16)/(DATOS!D24*$Q$1*$W$1))^0.5</f>
        <v>164.26829822717647</v>
      </c>
      <c r="Z21" s="148">
        <f>((2*$X$16*$Z$16)/(DATOS!E24*$Q$1*$W$1))^0.5</f>
        <v>177.69616213532399</v>
      </c>
      <c r="AA21" s="148">
        <f>((2*$X$16*$Z$16)/(DATOS!F24*$Q$1*$W$1))^0.5</f>
        <v>192.80167764014726</v>
      </c>
      <c r="AB21" s="148">
        <f>((2*$X$16*$Z$16)/(DATOS!G24*$Q$1*$W$1))^0.5</f>
        <v>209.87291710193847</v>
      </c>
      <c r="AC21" s="148">
        <f>((2*$X$16*$Z$16)/(DATOS!H24*$Q$1*$W$1))^0.5</f>
        <v>229.26205685193912</v>
      </c>
      <c r="AD21" s="148">
        <f>((2*$X$16*$Z$16)/(DATOS!I24*$Q$1*$W$1))^0.5</f>
        <v>251.40319370356605</v>
      </c>
      <c r="AF21" s="148">
        <f>((2*$AG$16*$AI$16)/(DATOS!B24*$Q$1*$W$1))^0.5</f>
        <v>136.4020103130517</v>
      </c>
      <c r="AG21" s="148">
        <f>((2*$AG$16*$AI$16)/(DATOS!C24*$Q$1*$W$1))^0.5</f>
        <v>146.75676317655109</v>
      </c>
      <c r="AH21" s="148">
        <f>((2*$AG$16*$AI$16)/(DATOS!D24*$Q$1*$W$1))^0.5</f>
        <v>158.30956351058853</v>
      </c>
      <c r="AI21" s="148">
        <f>((2*$AG$16*$AI$16)/(DATOS!E24*$Q$1*$W$1))^0.5</f>
        <v>171.25033965011229</v>
      </c>
      <c r="AJ21" s="148">
        <f>((2*$AG$16*$AI$16)/(DATOS!F24*$Q$1*$W$1))^0.5</f>
        <v>185.80791157347795</v>
      </c>
      <c r="AK21" s="148">
        <f>((2*$AG$16*$AI$16)/(DATOS!G24*$Q$1*$W$1))^0.5</f>
        <v>202.2599019876198</v>
      </c>
      <c r="AL21" s="148">
        <f>((2*$AG$16*$AI$16)/(DATOS!H24*$Q$1*$W$1))^0.5</f>
        <v>220.94571223704131</v>
      </c>
      <c r="AM21" s="148">
        <f>((2*$AG$16*$AI$16)/(DATOS!I24*$Q$1*$W$1))^0.5</f>
        <v>242.28369253170396</v>
      </c>
    </row>
    <row r="22" spans="1:39">
      <c r="A22" s="142">
        <f t="shared" si="10"/>
        <v>105</v>
      </c>
      <c r="B22" s="143">
        <f t="shared" si="0"/>
        <v>1.6942724637970663</v>
      </c>
      <c r="C22" s="143">
        <f t="shared" si="1"/>
        <v>1.0052048706191714</v>
      </c>
      <c r="D22" s="143">
        <f t="shared" si="2"/>
        <v>0.64885695390577214</v>
      </c>
      <c r="E22" s="143">
        <f t="shared" si="3"/>
        <v>0.49048975328273514</v>
      </c>
      <c r="F22" s="143">
        <f t="shared" si="4"/>
        <v>0.39734211328143149</v>
      </c>
      <c r="G22" s="143"/>
      <c r="H22" s="143">
        <f t="shared" si="5"/>
        <v>3.550820176461432</v>
      </c>
      <c r="I22" s="143">
        <f t="shared" si="6"/>
        <v>5.9849061865050066</v>
      </c>
      <c r="J22" s="143">
        <f t="shared" si="7"/>
        <v>9.2717767955790524</v>
      </c>
      <c r="K22" s="143">
        <f t="shared" si="8"/>
        <v>12.265407806400763</v>
      </c>
      <c r="L22" s="144">
        <f t="shared" si="9"/>
        <v>15.140748105430651</v>
      </c>
    </row>
    <row r="23" spans="1:39">
      <c r="A23" s="142">
        <f t="shared" si="10"/>
        <v>110</v>
      </c>
      <c r="B23" s="143">
        <f t="shared" si="0"/>
        <v>1.8594736337364628</v>
      </c>
      <c r="C23" s="143">
        <f t="shared" si="1"/>
        <v>1.1032180439448502</v>
      </c>
      <c r="D23" s="143">
        <f t="shared" si="2"/>
        <v>0.71212418523898791</v>
      </c>
      <c r="E23" s="143">
        <f t="shared" si="3"/>
        <v>0.53831528478195878</v>
      </c>
      <c r="F23" s="143">
        <f t="shared" si="4"/>
        <v>0.43608522183268211</v>
      </c>
      <c r="G23" s="143"/>
      <c r="H23" s="143">
        <f t="shared" si="5"/>
        <v>3.3894192593495491</v>
      </c>
      <c r="I23" s="143">
        <f t="shared" si="6"/>
        <v>5.7128649962093245</v>
      </c>
      <c r="J23" s="143">
        <f t="shared" si="7"/>
        <v>8.8503323957800042</v>
      </c>
      <c r="K23" s="143">
        <f t="shared" si="8"/>
        <v>11.707889269746182</v>
      </c>
      <c r="L23" s="144">
        <f t="shared" si="9"/>
        <v>14.452532282456529</v>
      </c>
    </row>
    <row r="24" spans="1:39">
      <c r="A24" s="142">
        <f t="shared" si="10"/>
        <v>115</v>
      </c>
      <c r="B24" s="143">
        <f t="shared" si="0"/>
        <v>2.0323585790218779</v>
      </c>
      <c r="C24" s="143">
        <f t="shared" si="1"/>
        <v>1.205789969518235</v>
      </c>
      <c r="D24" s="143">
        <f t="shared" si="2"/>
        <v>0.77833407849467906</v>
      </c>
      <c r="E24" s="143">
        <f t="shared" si="3"/>
        <v>0.5883652596067277</v>
      </c>
      <c r="F24" s="143">
        <f t="shared" si="4"/>
        <v>0.47663033543282818</v>
      </c>
      <c r="G24" s="143"/>
      <c r="H24" s="143">
        <f t="shared" si="5"/>
        <v>3.2420532045952206</v>
      </c>
      <c r="I24" s="143">
        <f t="shared" si="6"/>
        <v>5.4644795615915278</v>
      </c>
      <c r="J24" s="143">
        <f t="shared" si="7"/>
        <v>8.4655353350939162</v>
      </c>
      <c r="K24" s="143">
        <f t="shared" si="8"/>
        <v>11.198850605844175</v>
      </c>
      <c r="L24" s="144">
        <f t="shared" si="9"/>
        <v>13.824161313654072</v>
      </c>
    </row>
    <row r="25" spans="1:39">
      <c r="A25" s="142">
        <f t="shared" si="10"/>
        <v>120</v>
      </c>
      <c r="B25" s="143">
        <f t="shared" si="0"/>
        <v>2.2129272996533111</v>
      </c>
      <c r="C25" s="143">
        <f t="shared" si="1"/>
        <v>1.3129206473393258</v>
      </c>
      <c r="D25" s="143">
        <f t="shared" si="2"/>
        <v>0.84748663367284516</v>
      </c>
      <c r="E25" s="143">
        <f t="shared" si="3"/>
        <v>0.64063967775704178</v>
      </c>
      <c r="F25" s="143">
        <f t="shared" si="4"/>
        <v>0.51897745408186957</v>
      </c>
      <c r="G25" s="143"/>
      <c r="H25" s="143">
        <f t="shared" si="5"/>
        <v>3.106967654403753</v>
      </c>
      <c r="I25" s="143">
        <f t="shared" si="6"/>
        <v>5.2367929131918807</v>
      </c>
      <c r="J25" s="143">
        <f t="shared" si="7"/>
        <v>8.1128046961316702</v>
      </c>
      <c r="K25" s="143">
        <f t="shared" si="8"/>
        <v>10.732231830600668</v>
      </c>
      <c r="L25" s="144">
        <f t="shared" si="9"/>
        <v>13.248154592251819</v>
      </c>
    </row>
    <row r="26" spans="1:39">
      <c r="A26" s="142">
        <f t="shared" si="10"/>
        <v>125</v>
      </c>
      <c r="B26" s="143">
        <f t="shared" si="0"/>
        <v>2.401179795630763</v>
      </c>
      <c r="C26" s="143">
        <f t="shared" si="1"/>
        <v>1.424610077408123</v>
      </c>
      <c r="D26" s="143">
        <f t="shared" si="2"/>
        <v>0.91958185077348653</v>
      </c>
      <c r="E26" s="143">
        <f t="shared" si="3"/>
        <v>0.69513853923290125</v>
      </c>
      <c r="F26" s="143">
        <f t="shared" si="4"/>
        <v>0.56312657777980646</v>
      </c>
      <c r="G26" s="143"/>
      <c r="H26" s="143">
        <f t="shared" si="5"/>
        <v>2.9826889482276027</v>
      </c>
      <c r="I26" s="143">
        <f t="shared" si="6"/>
        <v>5.0273211966642055</v>
      </c>
      <c r="J26" s="143">
        <f t="shared" si="7"/>
        <v>7.7882925082864034</v>
      </c>
      <c r="K26" s="143">
        <f t="shared" si="8"/>
        <v>10.302942557376641</v>
      </c>
      <c r="L26" s="144">
        <f t="shared" si="9"/>
        <v>12.718228408561746</v>
      </c>
    </row>
    <row r="27" spans="1:39">
      <c r="A27" s="142">
        <f t="shared" si="10"/>
        <v>130</v>
      </c>
      <c r="B27" s="143">
        <f t="shared" si="0"/>
        <v>2.5971160669542335</v>
      </c>
      <c r="C27" s="143">
        <f t="shared" si="1"/>
        <v>1.5408582597246254</v>
      </c>
      <c r="D27" s="143">
        <f t="shared" si="2"/>
        <v>0.99461972979660307</v>
      </c>
      <c r="E27" s="143">
        <f t="shared" si="3"/>
        <v>0.75186184403430611</v>
      </c>
      <c r="F27" s="143">
        <f t="shared" si="4"/>
        <v>0.60907770652663873</v>
      </c>
      <c r="G27" s="143"/>
      <c r="H27" s="143">
        <f t="shared" si="5"/>
        <v>2.8679701425265414</v>
      </c>
      <c r="I27" s="143">
        <f t="shared" si="6"/>
        <v>4.8339626891001979</v>
      </c>
      <c r="J27" s="143">
        <f t="shared" si="7"/>
        <v>7.488742796429233</v>
      </c>
      <c r="K27" s="143">
        <f t="shared" si="8"/>
        <v>9.9066755359390779</v>
      </c>
      <c r="L27" s="144">
        <f t="shared" si="9"/>
        <v>12.229065777463218</v>
      </c>
    </row>
    <row r="28" spans="1:39">
      <c r="A28" s="142">
        <f t="shared" si="10"/>
        <v>135</v>
      </c>
      <c r="B28" s="143">
        <f t="shared" si="0"/>
        <v>2.8007361136237221</v>
      </c>
      <c r="C28" s="143">
        <f t="shared" si="1"/>
        <v>1.6616651942888343</v>
      </c>
      <c r="D28" s="143">
        <f t="shared" si="2"/>
        <v>1.0726002707421947</v>
      </c>
      <c r="E28" s="143">
        <f t="shared" si="3"/>
        <v>0.81080959216125614</v>
      </c>
      <c r="F28" s="143">
        <f t="shared" si="4"/>
        <v>0.65683084032236627</v>
      </c>
      <c r="G28" s="143"/>
      <c r="H28" s="143">
        <f t="shared" si="5"/>
        <v>2.7617490261366693</v>
      </c>
      <c r="I28" s="143">
        <f t="shared" si="6"/>
        <v>4.6549270339483391</v>
      </c>
      <c r="J28" s="143">
        <f t="shared" si="7"/>
        <v>7.2113819521170406</v>
      </c>
      <c r="K28" s="143">
        <f t="shared" si="8"/>
        <v>9.5397616272005923</v>
      </c>
      <c r="L28" s="144">
        <f t="shared" si="9"/>
        <v>11.776137415334951</v>
      </c>
    </row>
    <row r="29" spans="1:39">
      <c r="A29" s="142">
        <f t="shared" si="10"/>
        <v>140</v>
      </c>
      <c r="B29" s="143">
        <f t="shared" si="0"/>
        <v>3.0120399356392289</v>
      </c>
      <c r="C29" s="143">
        <f t="shared" si="1"/>
        <v>1.7870308811007491</v>
      </c>
      <c r="D29" s="143">
        <f t="shared" si="2"/>
        <v>1.1535234736102615</v>
      </c>
      <c r="E29" s="143">
        <f t="shared" si="3"/>
        <v>0.87198178361375145</v>
      </c>
      <c r="F29" s="143">
        <f t="shared" si="4"/>
        <v>0.70638597916698931</v>
      </c>
      <c r="G29" s="143"/>
      <c r="H29" s="143">
        <f t="shared" si="5"/>
        <v>2.663115132346074</v>
      </c>
      <c r="I29" s="143">
        <f t="shared" si="6"/>
        <v>4.4886796398787547</v>
      </c>
      <c r="J29" s="143">
        <f t="shared" si="7"/>
        <v>6.953832596684288</v>
      </c>
      <c r="K29" s="143">
        <f t="shared" si="8"/>
        <v>9.1990558548005712</v>
      </c>
      <c r="L29" s="144">
        <f t="shared" si="9"/>
        <v>11.355561079072988</v>
      </c>
    </row>
    <row r="30" spans="1:39">
      <c r="A30" s="142">
        <f t="shared" si="10"/>
        <v>145</v>
      </c>
      <c r="B30" s="143">
        <f t="shared" si="0"/>
        <v>3.2310275330007543</v>
      </c>
      <c r="C30" s="143">
        <f t="shared" si="1"/>
        <v>1.91695532016037</v>
      </c>
      <c r="D30" s="143">
        <f t="shared" si="2"/>
        <v>1.2373893384008037</v>
      </c>
      <c r="E30" s="143">
        <f t="shared" si="3"/>
        <v>0.93537841839179203</v>
      </c>
      <c r="F30" s="143">
        <f t="shared" si="4"/>
        <v>0.75774312306050762</v>
      </c>
      <c r="G30" s="143"/>
      <c r="H30" s="143">
        <f t="shared" si="5"/>
        <v>2.5712835760582782</v>
      </c>
      <c r="I30" s="143">
        <f t="shared" si="6"/>
        <v>4.3338975833312121</v>
      </c>
      <c r="J30" s="143">
        <f t="shared" si="7"/>
        <v>6.714045265764141</v>
      </c>
      <c r="K30" s="143">
        <f t="shared" si="8"/>
        <v>8.8818470322212413</v>
      </c>
      <c r="L30" s="144">
        <f t="shared" si="9"/>
        <v>10.963990007380815</v>
      </c>
    </row>
    <row r="31" spans="1:39">
      <c r="A31" s="142">
        <f t="shared" si="10"/>
        <v>150</v>
      </c>
      <c r="B31" s="143">
        <f t="shared" si="0"/>
        <v>3.4576989057082983</v>
      </c>
      <c r="C31" s="143">
        <f t="shared" si="1"/>
        <v>2.0514385114676967</v>
      </c>
      <c r="D31" s="143">
        <f t="shared" si="2"/>
        <v>1.3241978651138206</v>
      </c>
      <c r="E31" s="143">
        <f t="shared" si="3"/>
        <v>1.0009994964953779</v>
      </c>
      <c r="F31" s="143">
        <f t="shared" si="4"/>
        <v>0.81090227200292131</v>
      </c>
      <c r="G31" s="143"/>
      <c r="H31" s="143">
        <f t="shared" si="5"/>
        <v>2.4855741235230027</v>
      </c>
      <c r="I31" s="143">
        <f t="shared" si="6"/>
        <v>4.189434330553504</v>
      </c>
      <c r="J31" s="143">
        <f t="shared" si="7"/>
        <v>6.4902437569053362</v>
      </c>
      <c r="K31" s="143">
        <f t="shared" si="8"/>
        <v>8.5857854644805336</v>
      </c>
      <c r="L31" s="144">
        <f t="shared" si="9"/>
        <v>10.598523673801456</v>
      </c>
    </row>
    <row r="32" spans="1:39">
      <c r="A32" s="142">
        <f t="shared" si="10"/>
        <v>155</v>
      </c>
      <c r="B32" s="143">
        <f t="shared" si="0"/>
        <v>3.6920540537618609</v>
      </c>
      <c r="C32" s="143">
        <f t="shared" si="1"/>
        <v>2.1904804550227297</v>
      </c>
      <c r="D32" s="143">
        <f t="shared" si="2"/>
        <v>1.4139490537493129</v>
      </c>
      <c r="E32" s="143">
        <f t="shared" si="3"/>
        <v>1.068845017924509</v>
      </c>
      <c r="F32" s="143">
        <f t="shared" si="4"/>
        <v>0.86586342599423038</v>
      </c>
      <c r="G32" s="143"/>
      <c r="H32" s="143">
        <f t="shared" si="5"/>
        <v>2.4053943130867768</v>
      </c>
      <c r="I32" s="143">
        <f t="shared" si="6"/>
        <v>4.0542912876324246</v>
      </c>
      <c r="J32" s="143">
        <f t="shared" si="7"/>
        <v>6.2808810550696794</v>
      </c>
      <c r="K32" s="143">
        <f t="shared" si="8"/>
        <v>8.3088246430456785</v>
      </c>
      <c r="L32" s="144">
        <f t="shared" si="9"/>
        <v>10.256635813356247</v>
      </c>
    </row>
    <row r="33" spans="1:12">
      <c r="A33" s="142">
        <f t="shared" si="10"/>
        <v>160</v>
      </c>
      <c r="B33" s="143">
        <f t="shared" si="0"/>
        <v>3.9340929771614421</v>
      </c>
      <c r="C33" s="143">
        <f t="shared" si="1"/>
        <v>2.3340811508254684</v>
      </c>
      <c r="D33" s="143">
        <f t="shared" si="2"/>
        <v>1.5066429043072804</v>
      </c>
      <c r="E33" s="143">
        <f t="shared" si="3"/>
        <v>1.1389149826791853</v>
      </c>
      <c r="F33" s="143">
        <f t="shared" si="4"/>
        <v>0.92262658503443495</v>
      </c>
      <c r="G33" s="143"/>
      <c r="H33" s="143">
        <f t="shared" si="5"/>
        <v>2.3302257408028151</v>
      </c>
      <c r="I33" s="143">
        <f t="shared" si="6"/>
        <v>3.9275946848939105</v>
      </c>
      <c r="J33" s="143">
        <f t="shared" si="7"/>
        <v>6.0846035220987522</v>
      </c>
      <c r="K33" s="143">
        <f t="shared" si="8"/>
        <v>8.0491738729504991</v>
      </c>
      <c r="L33" s="144">
        <f t="shared" si="9"/>
        <v>9.9361159441888631</v>
      </c>
    </row>
    <row r="34" spans="1:12">
      <c r="A34" s="142">
        <f t="shared" si="10"/>
        <v>165</v>
      </c>
      <c r="B34" s="143">
        <f t="shared" si="0"/>
        <v>4.1838156759070406</v>
      </c>
      <c r="C34" s="143">
        <f t="shared" si="1"/>
        <v>2.4822405988759129</v>
      </c>
      <c r="D34" s="143">
        <f t="shared" si="2"/>
        <v>1.602279416787723</v>
      </c>
      <c r="E34" s="143">
        <f t="shared" si="3"/>
        <v>1.2112093907594073</v>
      </c>
      <c r="F34" s="143">
        <f t="shared" si="4"/>
        <v>0.9811917491235348</v>
      </c>
      <c r="G34" s="143"/>
      <c r="H34" s="143">
        <f t="shared" si="5"/>
        <v>2.2596128395663659</v>
      </c>
      <c r="I34" s="143">
        <f t="shared" si="6"/>
        <v>3.8085766641395495</v>
      </c>
      <c r="J34" s="143">
        <f t="shared" si="7"/>
        <v>5.9002215971866692</v>
      </c>
      <c r="K34" s="143">
        <f t="shared" si="8"/>
        <v>7.8052595131641214</v>
      </c>
      <c r="L34" s="144">
        <f t="shared" si="9"/>
        <v>9.635021521637686</v>
      </c>
    </row>
    <row r="35" spans="1:12">
      <c r="A35" s="142">
        <f t="shared" si="10"/>
        <v>170</v>
      </c>
      <c r="B35" s="143">
        <f t="shared" si="0"/>
        <v>4.4412221499986595</v>
      </c>
      <c r="C35" s="143">
        <f t="shared" si="1"/>
        <v>2.6349587991740635</v>
      </c>
      <c r="D35" s="143">
        <f t="shared" si="2"/>
        <v>1.7008585911906406</v>
      </c>
      <c r="E35" s="143">
        <f t="shared" si="3"/>
        <v>1.2857282421651741</v>
      </c>
      <c r="F35" s="143">
        <f t="shared" si="4"/>
        <v>1.0415589182615301</v>
      </c>
      <c r="G35" s="143"/>
      <c r="H35" s="143">
        <f t="shared" si="5"/>
        <v>2.1931536384026495</v>
      </c>
      <c r="I35" s="143">
        <f t="shared" si="6"/>
        <v>3.6965597034295632</v>
      </c>
      <c r="J35" s="143">
        <f t="shared" si="7"/>
        <v>5.726685667857649</v>
      </c>
      <c r="K35" s="143">
        <f t="shared" si="8"/>
        <v>7.5756930568945888</v>
      </c>
      <c r="L35" s="144">
        <f t="shared" si="9"/>
        <v>9.3516385357071652</v>
      </c>
    </row>
    <row r="36" spans="1:12">
      <c r="A36" s="142">
        <f t="shared" si="10"/>
        <v>175</v>
      </c>
      <c r="B36" s="143">
        <f t="shared" si="0"/>
        <v>4.7063123994362952</v>
      </c>
      <c r="C36" s="143">
        <f t="shared" si="1"/>
        <v>2.7922357517199208</v>
      </c>
      <c r="D36" s="143">
        <f t="shared" si="2"/>
        <v>1.8023804275160338</v>
      </c>
      <c r="E36" s="143">
        <f t="shared" si="3"/>
        <v>1.3624715368964864</v>
      </c>
      <c r="F36" s="143">
        <f t="shared" si="4"/>
        <v>1.1037280924484207</v>
      </c>
      <c r="G36" s="143"/>
      <c r="H36" s="143">
        <f t="shared" si="5"/>
        <v>2.1304921058768596</v>
      </c>
      <c r="I36" s="143">
        <f t="shared" si="6"/>
        <v>3.5909437119030043</v>
      </c>
      <c r="J36" s="143">
        <f t="shared" si="7"/>
        <v>5.5630660773474307</v>
      </c>
      <c r="K36" s="143">
        <f t="shared" si="8"/>
        <v>7.3592446838404575</v>
      </c>
      <c r="L36" s="144">
        <f t="shared" si="9"/>
        <v>9.0844488632583893</v>
      </c>
    </row>
    <row r="37" spans="1:12">
      <c r="A37" s="142">
        <f t="shared" si="10"/>
        <v>180</v>
      </c>
      <c r="B37" s="143">
        <f t="shared" ref="B37:B68" si="11">(A37^2)/($B$1*($B$4^2-1)^0.5)*(1/1000)</f>
        <v>4.9790864242199495</v>
      </c>
      <c r="C37" s="143">
        <f t="shared" ref="C37:C69" si="12">(A37^2)/($B$1*($C$4^2-1)^0.5)*(1/1000)</f>
        <v>2.9540714565134834</v>
      </c>
      <c r="D37" s="143">
        <f t="shared" ref="D37:D69" si="13">(A37^2)/($B$1*($D$4^2-1)^0.5)*(1/1000)</f>
        <v>1.9068449257639017</v>
      </c>
      <c r="E37" s="143">
        <f t="shared" ref="E37:E69" si="14">(A37^2)/($B$1*($E$4^2-1)^0.5)*(1/1000)</f>
        <v>1.441439274953344</v>
      </c>
      <c r="F37" s="143">
        <f t="shared" ref="F37:F69" si="15">(A37^2)/($B$1*($F$4^2-1)^0.5)*(1/1000)</f>
        <v>1.1676992716842067</v>
      </c>
      <c r="G37" s="143"/>
      <c r="H37" s="143">
        <f t="shared" si="5"/>
        <v>2.0713117696025019</v>
      </c>
      <c r="I37" s="143">
        <f t="shared" si="6"/>
        <v>3.4911952754612541</v>
      </c>
      <c r="J37" s="143">
        <f t="shared" si="7"/>
        <v>5.4085364640877795</v>
      </c>
      <c r="K37" s="143">
        <f t="shared" si="8"/>
        <v>7.1548212204004447</v>
      </c>
      <c r="L37" s="144">
        <f t="shared" si="9"/>
        <v>8.832103061501213</v>
      </c>
    </row>
    <row r="38" spans="1:12">
      <c r="A38" s="142">
        <f t="shared" si="10"/>
        <v>185</v>
      </c>
      <c r="B38" s="143">
        <f t="shared" si="11"/>
        <v>5.2595442243496224</v>
      </c>
      <c r="C38" s="143">
        <f t="shared" si="12"/>
        <v>3.1204659135547521</v>
      </c>
      <c r="D38" s="143">
        <f t="shared" si="13"/>
        <v>2.014252085934245</v>
      </c>
      <c r="E38" s="143">
        <f t="shared" si="14"/>
        <v>1.522631456335747</v>
      </c>
      <c r="F38" s="143">
        <f t="shared" si="15"/>
        <v>1.2334724559688883</v>
      </c>
      <c r="G38" s="143"/>
      <c r="H38" s="143">
        <f t="shared" si="5"/>
        <v>2.0153303704240559</v>
      </c>
      <c r="I38" s="143">
        <f t="shared" si="6"/>
        <v>3.3968386463947335</v>
      </c>
      <c r="J38" s="143">
        <f t="shared" si="7"/>
        <v>5.262359802896218</v>
      </c>
      <c r="K38" s="143">
        <f t="shared" si="8"/>
        <v>6.9614476739031357</v>
      </c>
      <c r="L38" s="144">
        <f t="shared" si="9"/>
        <v>8.5933975733525312</v>
      </c>
    </row>
    <row r="39" spans="1:12">
      <c r="A39" s="142">
        <f t="shared" si="10"/>
        <v>190</v>
      </c>
      <c r="B39" s="143">
        <f t="shared" si="11"/>
        <v>5.5476857998253148</v>
      </c>
      <c r="C39" s="143">
        <f t="shared" si="12"/>
        <v>3.2914191228437266</v>
      </c>
      <c r="D39" s="143">
        <f t="shared" si="13"/>
        <v>2.1246019080270635</v>
      </c>
      <c r="E39" s="143">
        <f t="shared" si="14"/>
        <v>1.6060480810436952</v>
      </c>
      <c r="F39" s="143">
        <f t="shared" si="15"/>
        <v>1.3010476453024649</v>
      </c>
      <c r="G39" s="143"/>
      <c r="H39" s="143">
        <f t="shared" si="5"/>
        <v>1.9622953606760547</v>
      </c>
      <c r="I39" s="143">
        <f t="shared" si="6"/>
        <v>3.3074481557001354</v>
      </c>
      <c r="J39" s="143">
        <f t="shared" si="7"/>
        <v>5.1238766501884232</v>
      </c>
      <c r="K39" s="143">
        <f t="shared" si="8"/>
        <v>6.7782516824846324</v>
      </c>
      <c r="L39" s="144">
        <f t="shared" si="9"/>
        <v>8.3672555319485173</v>
      </c>
    </row>
    <row r="40" spans="1:12">
      <c r="A40" s="142">
        <f t="shared" si="10"/>
        <v>195</v>
      </c>
      <c r="B40" s="143">
        <f t="shared" si="11"/>
        <v>5.8435111506470241</v>
      </c>
      <c r="C40" s="143">
        <f t="shared" si="12"/>
        <v>3.4669310843804073</v>
      </c>
      <c r="D40" s="143">
        <f t="shared" si="13"/>
        <v>2.2378943920423566</v>
      </c>
      <c r="E40" s="143">
        <f t="shared" si="14"/>
        <v>1.6916891490771886</v>
      </c>
      <c r="F40" s="143">
        <f t="shared" si="15"/>
        <v>1.370424839684937</v>
      </c>
      <c r="G40" s="143"/>
      <c r="H40" s="143">
        <f t="shared" si="5"/>
        <v>1.9119800950176939</v>
      </c>
      <c r="I40" s="143">
        <f t="shared" si="6"/>
        <v>3.2226417927334654</v>
      </c>
      <c r="J40" s="143">
        <f t="shared" si="7"/>
        <v>4.9924951976194896</v>
      </c>
      <c r="K40" s="143">
        <f t="shared" si="8"/>
        <v>6.604450357292718</v>
      </c>
      <c r="L40" s="144">
        <f t="shared" si="9"/>
        <v>8.1527105183088118</v>
      </c>
    </row>
    <row r="41" spans="1:12">
      <c r="A41" s="142">
        <f t="shared" si="10"/>
        <v>200</v>
      </c>
      <c r="B41" s="143">
        <f t="shared" si="11"/>
        <v>6.1470202768147528</v>
      </c>
      <c r="C41" s="143">
        <f t="shared" si="12"/>
        <v>3.6470017981647942</v>
      </c>
      <c r="D41" s="143">
        <f t="shared" si="13"/>
        <v>2.3541295379801253</v>
      </c>
      <c r="E41" s="143">
        <f t="shared" si="14"/>
        <v>1.7795546604362273</v>
      </c>
      <c r="F41" s="143">
        <f t="shared" si="15"/>
        <v>1.4416040391163047</v>
      </c>
      <c r="G41" s="143"/>
      <c r="H41" s="143">
        <f t="shared" si="5"/>
        <v>1.8641805926422517</v>
      </c>
      <c r="I41" s="143">
        <f t="shared" si="6"/>
        <v>3.1420757479151287</v>
      </c>
      <c r="J41" s="143">
        <f t="shared" si="7"/>
        <v>4.8676828176790012</v>
      </c>
      <c r="K41" s="143">
        <f t="shared" si="8"/>
        <v>6.4393390983604011</v>
      </c>
      <c r="L41" s="144">
        <f t="shared" si="9"/>
        <v>7.9488927553510909</v>
      </c>
    </row>
    <row r="42" spans="1:12">
      <c r="A42" s="142">
        <f t="shared" si="10"/>
        <v>205</v>
      </c>
      <c r="B42" s="143">
        <f t="shared" si="11"/>
        <v>6.4582131783284993</v>
      </c>
      <c r="C42" s="143">
        <f t="shared" si="12"/>
        <v>3.8316312641968873</v>
      </c>
      <c r="D42" s="143">
        <f t="shared" si="13"/>
        <v>2.4733073458403698</v>
      </c>
      <c r="E42" s="143">
        <f t="shared" si="14"/>
        <v>1.8696446151208113</v>
      </c>
      <c r="F42" s="143">
        <f t="shared" si="15"/>
        <v>1.5145852435965677</v>
      </c>
      <c r="G42" s="143"/>
      <c r="H42" s="143">
        <f t="shared" si="5"/>
        <v>1.8187127733095139</v>
      </c>
      <c r="I42" s="143">
        <f t="shared" si="6"/>
        <v>3.0654397540635401</v>
      </c>
      <c r="J42" s="143">
        <f t="shared" si="7"/>
        <v>4.7489588465160999</v>
      </c>
      <c r="K42" s="143">
        <f t="shared" si="8"/>
        <v>6.2822820471808791</v>
      </c>
      <c r="L42" s="144">
        <f t="shared" si="9"/>
        <v>7.7550173222937477</v>
      </c>
    </row>
    <row r="43" spans="1:12">
      <c r="A43" s="142">
        <f t="shared" si="10"/>
        <v>210</v>
      </c>
      <c r="B43" s="143">
        <f t="shared" si="11"/>
        <v>6.7770898551882652</v>
      </c>
      <c r="C43" s="143">
        <f t="shared" si="12"/>
        <v>4.0208194824766856</v>
      </c>
      <c r="D43" s="143">
        <f t="shared" si="13"/>
        <v>2.5954278156230886</v>
      </c>
      <c r="E43" s="143">
        <f t="shared" si="14"/>
        <v>1.9619590131309406</v>
      </c>
      <c r="F43" s="143">
        <f t="shared" si="15"/>
        <v>1.5893684531257259</v>
      </c>
      <c r="G43" s="143"/>
      <c r="H43" s="143">
        <f t="shared" si="5"/>
        <v>1.775410088230716</v>
      </c>
      <c r="I43" s="143">
        <f t="shared" si="6"/>
        <v>2.9924530932525033</v>
      </c>
      <c r="J43" s="143">
        <f t="shared" si="7"/>
        <v>4.6358883977895262</v>
      </c>
      <c r="K43" s="143">
        <f t="shared" si="8"/>
        <v>6.1327039032003814</v>
      </c>
      <c r="L43" s="144">
        <f t="shared" si="9"/>
        <v>7.5703740527153256</v>
      </c>
    </row>
    <row r="44" spans="1:12">
      <c r="A44" s="142">
        <f t="shared" si="10"/>
        <v>215</v>
      </c>
      <c r="B44" s="143">
        <f t="shared" si="11"/>
        <v>7.1036503073940489</v>
      </c>
      <c r="C44" s="143">
        <f t="shared" si="12"/>
        <v>4.2145664530041902</v>
      </c>
      <c r="D44" s="143">
        <f t="shared" si="13"/>
        <v>2.7204909473282828</v>
      </c>
      <c r="E44" s="143">
        <f t="shared" si="14"/>
        <v>2.056497854466615</v>
      </c>
      <c r="F44" s="143">
        <f t="shared" si="15"/>
        <v>1.6659536677037796</v>
      </c>
      <c r="G44" s="143"/>
      <c r="H44" s="143">
        <f t="shared" si="5"/>
        <v>1.7341214815276762</v>
      </c>
      <c r="I44" s="143">
        <f t="shared" si="6"/>
        <v>2.9228611608512827</v>
      </c>
      <c r="J44" s="143">
        <f t="shared" si="7"/>
        <v>4.5280770397013974</v>
      </c>
      <c r="K44" s="143">
        <f t="shared" si="8"/>
        <v>5.9900828821957219</v>
      </c>
      <c r="L44" s="144">
        <f t="shared" si="9"/>
        <v>7.3943188421870625</v>
      </c>
    </row>
    <row r="45" spans="1:12">
      <c r="A45" s="142">
        <f t="shared" si="10"/>
        <v>220</v>
      </c>
      <c r="B45" s="143">
        <f t="shared" si="11"/>
        <v>7.4378945349458512</v>
      </c>
      <c r="C45" s="143">
        <f t="shared" si="12"/>
        <v>4.4128721757794009</v>
      </c>
      <c r="D45" s="143">
        <f t="shared" si="13"/>
        <v>2.8484967409559516</v>
      </c>
      <c r="E45" s="143">
        <f t="shared" si="14"/>
        <v>2.1532611391278351</v>
      </c>
      <c r="F45" s="143">
        <f t="shared" si="15"/>
        <v>1.7443408873307285</v>
      </c>
      <c r="G45" s="143"/>
      <c r="H45" s="143">
        <f t="shared" si="5"/>
        <v>1.6947096296747746</v>
      </c>
      <c r="I45" s="143">
        <f t="shared" si="6"/>
        <v>2.8564324981046623</v>
      </c>
      <c r="J45" s="143">
        <f t="shared" si="7"/>
        <v>4.4251661978900021</v>
      </c>
      <c r="K45" s="143">
        <f t="shared" si="8"/>
        <v>5.8539446348730912</v>
      </c>
      <c r="L45" s="144">
        <f t="shared" si="9"/>
        <v>7.2262661412282645</v>
      </c>
    </row>
    <row r="46" spans="1:12">
      <c r="A46" s="142">
        <f t="shared" si="10"/>
        <v>225</v>
      </c>
      <c r="B46" s="143">
        <f t="shared" si="11"/>
        <v>7.7798225378436721</v>
      </c>
      <c r="C46" s="143">
        <f t="shared" si="12"/>
        <v>4.6157366508023179</v>
      </c>
      <c r="D46" s="143">
        <f t="shared" si="13"/>
        <v>2.9794451965060964</v>
      </c>
      <c r="E46" s="143">
        <f t="shared" si="14"/>
        <v>2.2522488671146004</v>
      </c>
      <c r="F46" s="143">
        <f t="shared" si="15"/>
        <v>1.8245301120065731</v>
      </c>
      <c r="G46" s="143"/>
      <c r="H46" s="143">
        <f t="shared" si="5"/>
        <v>1.6570494156820017</v>
      </c>
      <c r="I46" s="143">
        <f t="shared" si="6"/>
        <v>2.7929562203690033</v>
      </c>
      <c r="J46" s="143">
        <f t="shared" si="7"/>
        <v>4.3268291712702238</v>
      </c>
      <c r="K46" s="143">
        <f t="shared" si="8"/>
        <v>5.7238569763203566</v>
      </c>
      <c r="L46" s="144">
        <f t="shared" si="9"/>
        <v>7.0656824492009696</v>
      </c>
    </row>
    <row r="47" spans="1:12">
      <c r="A47" s="142">
        <f t="shared" si="10"/>
        <v>230</v>
      </c>
      <c r="B47" s="143">
        <f t="shared" si="11"/>
        <v>8.1294343160875115</v>
      </c>
      <c r="C47" s="143">
        <f t="shared" si="12"/>
        <v>4.8231598780729401</v>
      </c>
      <c r="D47" s="143">
        <f t="shared" si="13"/>
        <v>3.1133363139787162</v>
      </c>
      <c r="E47" s="143">
        <f t="shared" si="14"/>
        <v>2.3534610384269108</v>
      </c>
      <c r="F47" s="143">
        <f t="shared" si="15"/>
        <v>1.9065213417313127</v>
      </c>
      <c r="G47" s="143"/>
      <c r="H47" s="143">
        <f t="shared" si="5"/>
        <v>1.6210266022976103</v>
      </c>
      <c r="I47" s="143">
        <f t="shared" si="6"/>
        <v>2.7322397807957639</v>
      </c>
      <c r="J47" s="143">
        <f t="shared" si="7"/>
        <v>4.2327676675469581</v>
      </c>
      <c r="K47" s="143">
        <f t="shared" si="8"/>
        <v>5.5994253029220875</v>
      </c>
      <c r="L47" s="144">
        <f t="shared" si="9"/>
        <v>6.9120806568270359</v>
      </c>
    </row>
    <row r="48" spans="1:12">
      <c r="A48" s="142">
        <f t="shared" si="10"/>
        <v>235</v>
      </c>
      <c r="B48" s="143">
        <f t="shared" si="11"/>
        <v>8.4867298696773688</v>
      </c>
      <c r="C48" s="143">
        <f t="shared" si="12"/>
        <v>5.0351418575912694</v>
      </c>
      <c r="D48" s="143">
        <f t="shared" si="13"/>
        <v>3.2501700933738107</v>
      </c>
      <c r="E48" s="143">
        <f t="shared" si="14"/>
        <v>2.4568976530647664</v>
      </c>
      <c r="F48" s="143">
        <f t="shared" si="15"/>
        <v>1.9903145765049481</v>
      </c>
      <c r="G48" s="143"/>
      <c r="H48" s="143">
        <f t="shared" si="5"/>
        <v>1.5865366745891505</v>
      </c>
      <c r="I48" s="143">
        <f t="shared" si="6"/>
        <v>2.6741070195022369</v>
      </c>
      <c r="J48" s="143">
        <f t="shared" si="7"/>
        <v>4.1427087810034058</v>
      </c>
      <c r="K48" s="143">
        <f t="shared" si="8"/>
        <v>5.4802885943492772</v>
      </c>
      <c r="L48" s="144">
        <f t="shared" si="9"/>
        <v>6.7650151109370986</v>
      </c>
    </row>
    <row r="49" spans="1:12">
      <c r="A49" s="142">
        <f t="shared" si="10"/>
        <v>240</v>
      </c>
      <c r="B49" s="143">
        <f t="shared" si="11"/>
        <v>8.8517091986132446</v>
      </c>
      <c r="C49" s="143">
        <f t="shared" si="12"/>
        <v>5.2516825893573031</v>
      </c>
      <c r="D49" s="143">
        <f t="shared" si="13"/>
        <v>3.3899465346913806</v>
      </c>
      <c r="E49" s="143">
        <f t="shared" si="14"/>
        <v>2.5625587110281671</v>
      </c>
      <c r="F49" s="143">
        <f t="shared" si="15"/>
        <v>2.0759098163274783</v>
      </c>
      <c r="G49" s="143"/>
      <c r="H49" s="143">
        <f t="shared" si="5"/>
        <v>1.5534838272018765</v>
      </c>
      <c r="I49" s="143">
        <f t="shared" si="6"/>
        <v>2.6183964565959403</v>
      </c>
      <c r="J49" s="143">
        <f t="shared" si="7"/>
        <v>4.0564023480658351</v>
      </c>
      <c r="K49" s="143">
        <f t="shared" si="8"/>
        <v>5.3661159153003339</v>
      </c>
      <c r="L49" s="144">
        <f t="shared" si="9"/>
        <v>6.6240772961259093</v>
      </c>
    </row>
    <row r="50" spans="1:12">
      <c r="A50" s="142">
        <f t="shared" si="10"/>
        <v>245</v>
      </c>
      <c r="B50" s="143">
        <f t="shared" si="11"/>
        <v>9.224372302895139</v>
      </c>
      <c r="C50" s="143">
        <f t="shared" si="12"/>
        <v>5.4727820733710439</v>
      </c>
      <c r="D50" s="143">
        <f t="shared" si="13"/>
        <v>3.5326656379314261</v>
      </c>
      <c r="E50" s="143">
        <f t="shared" si="14"/>
        <v>2.6704442123171135</v>
      </c>
      <c r="F50" s="143">
        <f t="shared" si="15"/>
        <v>2.1633070611989047</v>
      </c>
      <c r="G50" s="143"/>
      <c r="H50" s="143">
        <f t="shared" si="5"/>
        <v>1.521780075626328</v>
      </c>
      <c r="I50" s="143">
        <f t="shared" si="6"/>
        <v>2.5649597942164317</v>
      </c>
      <c r="J50" s="143">
        <f t="shared" si="7"/>
        <v>3.9736186266767368</v>
      </c>
      <c r="K50" s="143">
        <f t="shared" si="8"/>
        <v>5.2566033456003263</v>
      </c>
      <c r="L50" s="144">
        <f t="shared" si="9"/>
        <v>6.4888920451845644</v>
      </c>
    </row>
    <row r="51" spans="1:12">
      <c r="A51" s="142">
        <f t="shared" si="10"/>
        <v>250</v>
      </c>
      <c r="B51" s="143">
        <f t="shared" si="11"/>
        <v>9.604719182523052</v>
      </c>
      <c r="C51" s="143">
        <f t="shared" si="12"/>
        <v>5.6984403096324918</v>
      </c>
      <c r="D51" s="143">
        <f t="shared" si="13"/>
        <v>3.6783274030939461</v>
      </c>
      <c r="E51" s="143">
        <f t="shared" si="14"/>
        <v>2.780554156931605</v>
      </c>
      <c r="F51" s="143">
        <f t="shared" si="15"/>
        <v>2.2525063111192258</v>
      </c>
      <c r="G51" s="143"/>
      <c r="H51" s="143">
        <f t="shared" si="5"/>
        <v>1.4913444741138013</v>
      </c>
      <c r="I51" s="143">
        <f t="shared" si="6"/>
        <v>2.5136605983321028</v>
      </c>
      <c r="J51" s="143">
        <f t="shared" si="7"/>
        <v>3.8941462541432017</v>
      </c>
      <c r="K51" s="143">
        <f t="shared" si="8"/>
        <v>5.1514712786883203</v>
      </c>
      <c r="L51" s="144">
        <f t="shared" si="9"/>
        <v>6.359114204280873</v>
      </c>
    </row>
    <row r="52" spans="1:12">
      <c r="A52" s="142">
        <f t="shared" si="10"/>
        <v>255</v>
      </c>
      <c r="B52" s="143">
        <f t="shared" si="11"/>
        <v>9.9927498374969819</v>
      </c>
      <c r="C52" s="143">
        <f t="shared" si="12"/>
        <v>5.9286572981416441</v>
      </c>
      <c r="D52" s="143">
        <f t="shared" si="13"/>
        <v>3.8269318301789417</v>
      </c>
      <c r="E52" s="143">
        <f t="shared" si="14"/>
        <v>2.8928885448716422</v>
      </c>
      <c r="F52" s="143">
        <f t="shared" si="15"/>
        <v>2.3435075660884426</v>
      </c>
      <c r="G52" s="143"/>
      <c r="H52" s="143">
        <f t="shared" si="5"/>
        <v>1.4621024256017661</v>
      </c>
      <c r="I52" s="143">
        <f t="shared" si="6"/>
        <v>2.4643731356197085</v>
      </c>
      <c r="J52" s="143">
        <f t="shared" si="7"/>
        <v>3.8177904452384333</v>
      </c>
      <c r="K52" s="143">
        <f t="shared" si="8"/>
        <v>5.0504620379297256</v>
      </c>
      <c r="L52" s="144">
        <f t="shared" si="9"/>
        <v>6.2344256904714435</v>
      </c>
    </row>
    <row r="53" spans="1:12">
      <c r="A53" s="142">
        <f t="shared" si="10"/>
        <v>260</v>
      </c>
      <c r="B53" s="143">
        <f t="shared" si="11"/>
        <v>10.388464267816934</v>
      </c>
      <c r="C53" s="143">
        <f t="shared" si="12"/>
        <v>6.1634330388985017</v>
      </c>
      <c r="D53" s="143">
        <f t="shared" si="13"/>
        <v>3.9784789191864123</v>
      </c>
      <c r="E53" s="143">
        <f t="shared" si="14"/>
        <v>3.0074473761372245</v>
      </c>
      <c r="F53" s="143">
        <f t="shared" si="15"/>
        <v>2.4363108261065549</v>
      </c>
      <c r="G53" s="143"/>
      <c r="H53" s="143">
        <f t="shared" si="5"/>
        <v>1.4339850712632707</v>
      </c>
      <c r="I53" s="143">
        <f t="shared" si="6"/>
        <v>2.4169813445500989</v>
      </c>
      <c r="J53" s="143">
        <f t="shared" si="7"/>
        <v>3.7443713982146165</v>
      </c>
      <c r="K53" s="143">
        <f t="shared" si="8"/>
        <v>4.953337767969539</v>
      </c>
      <c r="L53" s="144">
        <f t="shared" si="9"/>
        <v>6.1145328887316088</v>
      </c>
    </row>
    <row r="54" spans="1:12">
      <c r="A54" s="142">
        <f t="shared" si="10"/>
        <v>265</v>
      </c>
      <c r="B54" s="143">
        <f t="shared" si="11"/>
        <v>10.791862473482901</v>
      </c>
      <c r="C54" s="143">
        <f t="shared" si="12"/>
        <v>6.4027675319030672</v>
      </c>
      <c r="D54" s="143">
        <f t="shared" si="13"/>
        <v>4.1329686701163579</v>
      </c>
      <c r="E54" s="143">
        <f t="shared" si="14"/>
        <v>3.1242306507283515</v>
      </c>
      <c r="F54" s="143">
        <f t="shared" si="15"/>
        <v>2.530916091173562</v>
      </c>
      <c r="G54" s="143"/>
      <c r="H54" s="143">
        <f t="shared" si="5"/>
        <v>1.4069287491639635</v>
      </c>
      <c r="I54" s="143">
        <f t="shared" si="6"/>
        <v>2.3713779229548138</v>
      </c>
      <c r="J54" s="143">
        <f t="shared" si="7"/>
        <v>3.6737228812671714</v>
      </c>
      <c r="K54" s="143">
        <f t="shared" si="8"/>
        <v>4.8598785648003018</v>
      </c>
      <c r="L54" s="144">
        <f t="shared" si="9"/>
        <v>5.9991643436612003</v>
      </c>
    </row>
    <row r="55" spans="1:12">
      <c r="A55" s="142">
        <f t="shared" si="10"/>
        <v>270</v>
      </c>
      <c r="B55" s="143">
        <f t="shared" si="11"/>
        <v>11.202944454494888</v>
      </c>
      <c r="C55" s="143">
        <f t="shared" si="12"/>
        <v>6.6466607771553372</v>
      </c>
      <c r="D55" s="143">
        <f t="shared" si="13"/>
        <v>4.2904010829687786</v>
      </c>
      <c r="E55" s="143">
        <f t="shared" si="14"/>
        <v>3.2432383686450246</v>
      </c>
      <c r="F55" s="143">
        <f t="shared" si="15"/>
        <v>2.6273233612894651</v>
      </c>
      <c r="G55" s="143"/>
      <c r="H55" s="143">
        <f t="shared" si="5"/>
        <v>1.3808745130683346</v>
      </c>
      <c r="I55" s="143">
        <f t="shared" si="6"/>
        <v>2.3274635169741695</v>
      </c>
      <c r="J55" s="143">
        <f t="shared" si="7"/>
        <v>3.6056909760585203</v>
      </c>
      <c r="K55" s="143">
        <f t="shared" si="8"/>
        <v>4.7698808136002961</v>
      </c>
      <c r="L55" s="144">
        <f t="shared" si="9"/>
        <v>5.8880687076674754</v>
      </c>
    </row>
    <row r="56" spans="1:12">
      <c r="A56" s="142">
        <f t="shared" si="10"/>
        <v>275</v>
      </c>
      <c r="B56" s="143">
        <f t="shared" si="11"/>
        <v>11.621710210852893</v>
      </c>
      <c r="C56" s="143">
        <f t="shared" si="12"/>
        <v>6.8951127746553142</v>
      </c>
      <c r="D56" s="143">
        <f t="shared" si="13"/>
        <v>4.4507761577436753</v>
      </c>
      <c r="E56" s="143">
        <f t="shared" si="14"/>
        <v>3.3644705298872424</v>
      </c>
      <c r="F56" s="143">
        <f t="shared" si="15"/>
        <v>2.7255326364542634</v>
      </c>
      <c r="G56" s="143"/>
      <c r="H56" s="143">
        <f t="shared" si="5"/>
        <v>1.3557677037398195</v>
      </c>
      <c r="I56" s="143">
        <f t="shared" si="6"/>
        <v>2.2851459984837299</v>
      </c>
      <c r="J56" s="143">
        <f t="shared" si="7"/>
        <v>3.5401329583120016</v>
      </c>
      <c r="K56" s="143">
        <f t="shared" si="8"/>
        <v>4.6831557078984734</v>
      </c>
      <c r="L56" s="144">
        <f t="shared" si="9"/>
        <v>5.7810129129826118</v>
      </c>
    </row>
    <row r="57" spans="1:12">
      <c r="A57" s="142">
        <f t="shared" si="10"/>
        <v>280</v>
      </c>
      <c r="B57" s="143">
        <f t="shared" si="11"/>
        <v>12.048159742556916</v>
      </c>
      <c r="C57" s="143">
        <f t="shared" si="12"/>
        <v>7.1481235244029966</v>
      </c>
      <c r="D57" s="143">
        <f t="shared" si="13"/>
        <v>4.6140938944410461</v>
      </c>
      <c r="E57" s="143">
        <f t="shared" si="14"/>
        <v>3.4879271344550058</v>
      </c>
      <c r="F57" s="143">
        <f t="shared" si="15"/>
        <v>2.8255439166679572</v>
      </c>
      <c r="G57" s="143"/>
      <c r="H57" s="143">
        <f t="shared" si="5"/>
        <v>1.331557566173037</v>
      </c>
      <c r="I57" s="143">
        <f t="shared" si="6"/>
        <v>2.2443398199393774</v>
      </c>
      <c r="J57" s="143">
        <f t="shared" si="7"/>
        <v>3.476916298342144</v>
      </c>
      <c r="K57" s="143">
        <f t="shared" si="8"/>
        <v>4.5995279274002856</v>
      </c>
      <c r="L57" s="144">
        <f t="shared" si="9"/>
        <v>5.677780539536494</v>
      </c>
    </row>
    <row r="58" spans="1:12">
      <c r="A58" s="142">
        <f t="shared" si="10"/>
        <v>285</v>
      </c>
      <c r="B58" s="143">
        <f t="shared" si="11"/>
        <v>12.482293049606957</v>
      </c>
      <c r="C58" s="143">
        <f t="shared" si="12"/>
        <v>7.4056930263983851</v>
      </c>
      <c r="D58" s="143">
        <f t="shared" si="13"/>
        <v>4.7803542930608929</v>
      </c>
      <c r="E58" s="143">
        <f t="shared" si="14"/>
        <v>3.6136081823483144</v>
      </c>
      <c r="F58" s="143">
        <f t="shared" si="15"/>
        <v>2.9273572019305463</v>
      </c>
      <c r="G58" s="143"/>
      <c r="H58" s="143">
        <f t="shared" si="5"/>
        <v>1.3081969071173696</v>
      </c>
      <c r="I58" s="143">
        <f t="shared" si="6"/>
        <v>2.2049654371334237</v>
      </c>
      <c r="J58" s="143">
        <f t="shared" si="7"/>
        <v>3.415917766792282</v>
      </c>
      <c r="K58" s="143">
        <f t="shared" si="8"/>
        <v>4.5188344549897543</v>
      </c>
      <c r="L58" s="144">
        <f t="shared" si="9"/>
        <v>5.5781703546323449</v>
      </c>
    </row>
    <row r="59" spans="1:12">
      <c r="A59" s="142">
        <f t="shared" si="10"/>
        <v>290</v>
      </c>
      <c r="B59" s="143">
        <f t="shared" si="11"/>
        <v>12.924110132003017</v>
      </c>
      <c r="C59" s="143">
        <f t="shared" si="12"/>
        <v>7.6678212806414798</v>
      </c>
      <c r="D59" s="143">
        <f t="shared" si="13"/>
        <v>4.9495573536032147</v>
      </c>
      <c r="E59" s="143">
        <f t="shared" si="14"/>
        <v>3.7415136735671681</v>
      </c>
      <c r="F59" s="143">
        <f t="shared" si="15"/>
        <v>3.0309724922420305</v>
      </c>
      <c r="G59" s="143"/>
      <c r="H59" s="143">
        <f t="shared" si="5"/>
        <v>1.2856417880291391</v>
      </c>
      <c r="I59" s="143">
        <f t="shared" si="6"/>
        <v>2.1669487916656061</v>
      </c>
      <c r="J59" s="143">
        <f t="shared" si="7"/>
        <v>3.3570226328820705</v>
      </c>
      <c r="K59" s="143">
        <f t="shared" si="8"/>
        <v>4.4409235161106206</v>
      </c>
      <c r="L59" s="144">
        <f t="shared" si="9"/>
        <v>5.4819950036904075</v>
      </c>
    </row>
    <row r="60" spans="1:12">
      <c r="A60" s="142">
        <f t="shared" si="10"/>
        <v>295</v>
      </c>
      <c r="B60" s="143">
        <f t="shared" si="11"/>
        <v>13.373610989745098</v>
      </c>
      <c r="C60" s="143">
        <f t="shared" si="12"/>
        <v>7.9345082871322807</v>
      </c>
      <c r="D60" s="143">
        <f t="shared" si="13"/>
        <v>5.1217030760680107</v>
      </c>
      <c r="E60" s="143">
        <f t="shared" si="14"/>
        <v>3.871643608111567</v>
      </c>
      <c r="F60" s="143">
        <f t="shared" si="15"/>
        <v>3.1363897876024103</v>
      </c>
      <c r="G60" s="143"/>
      <c r="H60" s="143">
        <f t="shared" si="5"/>
        <v>1.2638512492489842</v>
      </c>
      <c r="I60" s="143">
        <f t="shared" si="6"/>
        <v>2.1302208460441547</v>
      </c>
      <c r="J60" s="143">
        <f t="shared" si="7"/>
        <v>3.3001239441891537</v>
      </c>
      <c r="K60" s="143">
        <f t="shared" si="8"/>
        <v>4.3656536260070506</v>
      </c>
      <c r="L60" s="144">
        <f t="shared" si="9"/>
        <v>5.3890798341363331</v>
      </c>
    </row>
    <row r="61" spans="1:12">
      <c r="A61" s="142">
        <f t="shared" si="10"/>
        <v>300</v>
      </c>
      <c r="B61" s="143">
        <f t="shared" si="11"/>
        <v>13.830795622833193</v>
      </c>
      <c r="C61" s="143">
        <f t="shared" si="12"/>
        <v>8.2057540458707869</v>
      </c>
      <c r="D61" s="143">
        <f t="shared" si="13"/>
        <v>5.2967914604552826</v>
      </c>
      <c r="E61" s="143">
        <f t="shared" si="14"/>
        <v>4.0039979859815116</v>
      </c>
      <c r="F61" s="143">
        <f t="shared" si="15"/>
        <v>3.2436090880116852</v>
      </c>
      <c r="G61" s="143"/>
      <c r="H61" s="143">
        <f t="shared" si="5"/>
        <v>1.2427870617615013</v>
      </c>
      <c r="I61" s="143">
        <f t="shared" si="6"/>
        <v>2.094717165276752</v>
      </c>
      <c r="J61" s="143">
        <f t="shared" si="7"/>
        <v>3.2451218784526681</v>
      </c>
      <c r="K61" s="143">
        <f t="shared" si="8"/>
        <v>4.2928927322402668</v>
      </c>
      <c r="L61" s="144">
        <f t="shared" si="9"/>
        <v>5.2992618369007278</v>
      </c>
    </row>
    <row r="62" spans="1:12">
      <c r="A62" s="142">
        <f t="shared" si="10"/>
        <v>305</v>
      </c>
      <c r="B62" s="143">
        <f t="shared" si="11"/>
        <v>14.295664031267311</v>
      </c>
      <c r="C62" s="143">
        <f t="shared" si="12"/>
        <v>8.4815585568569993</v>
      </c>
      <c r="D62" s="143">
        <f t="shared" si="13"/>
        <v>5.4748225067650296</v>
      </c>
      <c r="E62" s="143">
        <f t="shared" si="14"/>
        <v>4.1385768071770013</v>
      </c>
      <c r="F62" s="143">
        <f t="shared" si="15"/>
        <v>3.3526303934698558</v>
      </c>
      <c r="G62" s="143"/>
      <c r="H62" s="143">
        <f t="shared" si="5"/>
        <v>1.2224135033719683</v>
      </c>
      <c r="I62" s="143">
        <f t="shared" si="6"/>
        <v>2.0603775396164781</v>
      </c>
      <c r="J62" s="143">
        <f t="shared" si="7"/>
        <v>3.1919231591337716</v>
      </c>
      <c r="K62" s="143">
        <f t="shared" si="8"/>
        <v>4.2225174415478044</v>
      </c>
      <c r="L62" s="144">
        <f t="shared" si="9"/>
        <v>5.2123886920335032</v>
      </c>
    </row>
    <row r="63" spans="1:12">
      <c r="A63" s="142">
        <f t="shared" si="10"/>
        <v>310</v>
      </c>
      <c r="B63" s="143">
        <f t="shared" si="11"/>
        <v>14.768216215047444</v>
      </c>
      <c r="C63" s="143">
        <f t="shared" si="12"/>
        <v>8.7619218200909188</v>
      </c>
      <c r="D63" s="143">
        <f t="shared" si="13"/>
        <v>5.6557962149972516</v>
      </c>
      <c r="E63" s="143">
        <f t="shared" si="14"/>
        <v>4.2753800716980361</v>
      </c>
      <c r="F63" s="143">
        <f t="shared" si="15"/>
        <v>3.4634537039769215</v>
      </c>
      <c r="G63" s="143"/>
      <c r="H63" s="143">
        <f t="shared" si="5"/>
        <v>1.2026971565433884</v>
      </c>
      <c r="I63" s="143">
        <f t="shared" si="6"/>
        <v>2.0271456438162123</v>
      </c>
      <c r="J63" s="143">
        <f t="shared" si="7"/>
        <v>3.1404405275348397</v>
      </c>
      <c r="K63" s="143">
        <f t="shared" si="8"/>
        <v>4.1544123215228392</v>
      </c>
      <c r="L63" s="144">
        <f t="shared" si="9"/>
        <v>5.1283179066781237</v>
      </c>
    </row>
    <row r="64" spans="1:12">
      <c r="A64" s="142">
        <f t="shared" si="10"/>
        <v>315</v>
      </c>
      <c r="B64" s="143">
        <f t="shared" si="11"/>
        <v>15.248452174173595</v>
      </c>
      <c r="C64" s="143">
        <f t="shared" si="12"/>
        <v>9.0468438355725436</v>
      </c>
      <c r="D64" s="143">
        <f t="shared" si="13"/>
        <v>5.8397125851519487</v>
      </c>
      <c r="E64" s="143">
        <f t="shared" si="14"/>
        <v>4.4144077795446162</v>
      </c>
      <c r="F64" s="143">
        <f t="shared" si="15"/>
        <v>3.5760790195328833</v>
      </c>
      <c r="G64" s="143"/>
      <c r="H64" s="143">
        <f t="shared" si="5"/>
        <v>1.1836067254871441</v>
      </c>
      <c r="I64" s="143">
        <f t="shared" si="6"/>
        <v>1.9949687288350024</v>
      </c>
      <c r="J64" s="143">
        <f t="shared" si="7"/>
        <v>3.0905922651930169</v>
      </c>
      <c r="K64" s="143">
        <f t="shared" si="8"/>
        <v>4.088469268800254</v>
      </c>
      <c r="L64" s="144">
        <f t="shared" si="9"/>
        <v>5.0469160351435498</v>
      </c>
    </row>
    <row r="65" spans="1:12">
      <c r="A65" s="142">
        <f t="shared" si="10"/>
        <v>320</v>
      </c>
      <c r="B65" s="143">
        <f t="shared" si="11"/>
        <v>15.736371908645769</v>
      </c>
      <c r="C65" s="143">
        <f t="shared" si="12"/>
        <v>9.3363246033018736</v>
      </c>
      <c r="D65" s="143">
        <f t="shared" si="13"/>
        <v>6.0265716172291217</v>
      </c>
      <c r="E65" s="143">
        <f t="shared" si="14"/>
        <v>4.5556599307167414</v>
      </c>
      <c r="F65" s="143">
        <f t="shared" si="15"/>
        <v>3.6905063401377398</v>
      </c>
      <c r="G65" s="143"/>
      <c r="H65" s="143">
        <f t="shared" si="5"/>
        <v>1.1651128704014075</v>
      </c>
      <c r="I65" s="143">
        <f t="shared" si="6"/>
        <v>1.9637973424469553</v>
      </c>
      <c r="J65" s="143">
        <f t="shared" si="7"/>
        <v>3.0423017610493761</v>
      </c>
      <c r="K65" s="143">
        <f t="shared" si="8"/>
        <v>4.0245869364752496</v>
      </c>
      <c r="L65" s="144">
        <f t="shared" si="9"/>
        <v>4.9680579720944316</v>
      </c>
    </row>
    <row r="66" spans="1:12">
      <c r="A66" s="142">
        <f t="shared" si="10"/>
        <v>325</v>
      </c>
      <c r="B66" s="143">
        <f t="shared" si="11"/>
        <v>16.231975418463957</v>
      </c>
      <c r="C66" s="143">
        <f t="shared" si="12"/>
        <v>9.6303641232789108</v>
      </c>
      <c r="D66" s="143">
        <f t="shared" si="13"/>
        <v>6.2163733112287689</v>
      </c>
      <c r="E66" s="143">
        <f t="shared" si="14"/>
        <v>4.6991365252144126</v>
      </c>
      <c r="F66" s="143">
        <f t="shared" si="15"/>
        <v>3.8067356657914919</v>
      </c>
      <c r="G66" s="143"/>
      <c r="H66" s="143">
        <f t="shared" si="5"/>
        <v>1.1471880570106165</v>
      </c>
      <c r="I66" s="143">
        <f t="shared" si="6"/>
        <v>1.9335850756400792</v>
      </c>
      <c r="J66" s="143">
        <f t="shared" si="7"/>
        <v>2.9954971185716937</v>
      </c>
      <c r="K66" s="143">
        <f t="shared" si="8"/>
        <v>3.9626702143756307</v>
      </c>
      <c r="L66" s="144">
        <f t="shared" si="9"/>
        <v>4.8916263109852869</v>
      </c>
    </row>
    <row r="67" spans="1:12">
      <c r="A67" s="142">
        <f t="shared" si="10"/>
        <v>330</v>
      </c>
      <c r="B67" s="143">
        <f t="shared" si="11"/>
        <v>16.735262703628162</v>
      </c>
      <c r="C67" s="143">
        <f t="shared" si="12"/>
        <v>9.9289623955036515</v>
      </c>
      <c r="D67" s="143">
        <f t="shared" si="13"/>
        <v>6.409117667150892</v>
      </c>
      <c r="E67" s="143">
        <f t="shared" si="14"/>
        <v>4.844837563037629</v>
      </c>
      <c r="F67" s="143">
        <f t="shared" si="15"/>
        <v>3.9247669964941392</v>
      </c>
      <c r="G67" s="143"/>
      <c r="H67" s="143">
        <f t="shared" si="5"/>
        <v>1.129806419783183</v>
      </c>
      <c r="I67" s="143">
        <f t="shared" si="6"/>
        <v>1.9042883320697748</v>
      </c>
      <c r="J67" s="143">
        <f t="shared" si="7"/>
        <v>2.9501107985933346</v>
      </c>
      <c r="K67" s="143">
        <f t="shared" si="8"/>
        <v>3.9026297565820607</v>
      </c>
      <c r="L67" s="144">
        <f t="shared" si="9"/>
        <v>4.817510760818843</v>
      </c>
    </row>
    <row r="68" spans="1:12">
      <c r="A68" s="142">
        <f t="shared" si="10"/>
        <v>335</v>
      </c>
      <c r="B68" s="143">
        <f t="shared" si="11"/>
        <v>17.246233764138388</v>
      </c>
      <c r="C68" s="143">
        <f t="shared" si="12"/>
        <v>10.232119419976101</v>
      </c>
      <c r="D68" s="143">
        <f t="shared" si="13"/>
        <v>6.6048046849954902</v>
      </c>
      <c r="E68" s="143">
        <f t="shared" si="14"/>
        <v>4.9927630441863906</v>
      </c>
      <c r="F68" s="143">
        <f t="shared" si="15"/>
        <v>4.0446003322456825</v>
      </c>
      <c r="G68" s="143"/>
      <c r="H68" s="143">
        <f t="shared" si="5"/>
        <v>1.1129436373983594</v>
      </c>
      <c r="I68" s="143">
        <f t="shared" si="6"/>
        <v>1.8758661181582856</v>
      </c>
      <c r="J68" s="143">
        <f t="shared" si="7"/>
        <v>2.9060792941367177</v>
      </c>
      <c r="K68" s="143">
        <f t="shared" si="8"/>
        <v>3.8443815512599402</v>
      </c>
      <c r="L68" s="144">
        <f t="shared" si="9"/>
        <v>4.74560761513498</v>
      </c>
    </row>
    <row r="69" spans="1:12">
      <c r="A69" s="145">
        <f t="shared" si="10"/>
        <v>340</v>
      </c>
      <c r="B69" s="146">
        <f t="shared" ref="B69" si="16">(A69^2)/($B$1*($B$4^2-1)^0.5)*(1/1000)</f>
        <v>17.764888599994638</v>
      </c>
      <c r="C69" s="146">
        <f t="shared" si="12"/>
        <v>10.539835196696254</v>
      </c>
      <c r="D69" s="146">
        <f t="shared" si="13"/>
        <v>6.8034343647625626</v>
      </c>
      <c r="E69" s="146">
        <f t="shared" si="14"/>
        <v>5.1429129686606965</v>
      </c>
      <c r="F69" s="146">
        <f t="shared" si="15"/>
        <v>4.1662356730461205</v>
      </c>
      <c r="G69" s="146"/>
      <c r="H69" s="146">
        <f t="shared" si="5"/>
        <v>1.0965768192013248</v>
      </c>
      <c r="I69" s="146">
        <f t="shared" si="6"/>
        <v>1.8482798517147816</v>
      </c>
      <c r="J69" s="146">
        <f t="shared" si="7"/>
        <v>2.8633428339288245</v>
      </c>
      <c r="K69" s="146">
        <f t="shared" si="8"/>
        <v>3.7878465284472944</v>
      </c>
      <c r="L69" s="147">
        <f t="shared" si="9"/>
        <v>4.6758192678535826</v>
      </c>
    </row>
  </sheetData>
  <mergeCells count="2">
    <mergeCell ref="B3:F3"/>
    <mergeCell ref="H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V3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L12" sqref="L12"/>
    </sheetView>
  </sheetViews>
  <sheetFormatPr baseColWidth="10" defaultColWidth="16.28515625" defaultRowHeight="14.65" customHeight="1"/>
  <cols>
    <col min="1" max="256" width="16.28515625" style="77" customWidth="1"/>
    <col min="257" max="16384" width="16.28515625" style="76"/>
  </cols>
  <sheetData>
    <row r="1" spans="1:26" ht="14.65" customHeight="1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ht="14.65" customHeight="1">
      <c r="A2" s="113"/>
      <c r="B2" s="112"/>
      <c r="C2" s="110"/>
      <c r="D2" s="111"/>
      <c r="E2" s="110"/>
      <c r="F2" s="110"/>
      <c r="G2" s="110"/>
      <c r="H2" s="110"/>
      <c r="I2" s="110"/>
      <c r="J2" s="155"/>
      <c r="K2" s="154" t="s">
        <v>217</v>
      </c>
      <c r="L2" s="153">
        <f>[1]EDisponible!B14</f>
        <v>0.39009899471001425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ht="14.45" customHeight="1">
      <c r="A3" s="109" t="s">
        <v>151</v>
      </c>
      <c r="B3" s="108"/>
      <c r="C3" s="107"/>
      <c r="D3" s="106" t="s">
        <v>150</v>
      </c>
      <c r="E3" s="105">
        <f>[2]POLAR!B25/[2]POLAR!A25</f>
        <v>9.7158204261708754</v>
      </c>
      <c r="F3" s="104" t="s">
        <v>149</v>
      </c>
      <c r="G3" s="103" t="s">
        <v>148</v>
      </c>
      <c r="H3" s="78"/>
      <c r="I3" s="78"/>
      <c r="J3" s="150"/>
      <c r="K3" s="152" t="s">
        <v>216</v>
      </c>
      <c r="L3" s="151">
        <f>[1]DATOS!J6</f>
        <v>358.7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4.45" customHeight="1">
      <c r="A4" s="80"/>
      <c r="B4" s="79"/>
      <c r="C4" s="78"/>
      <c r="D4" s="102" t="s">
        <v>147</v>
      </c>
      <c r="E4" s="100">
        <f>0.88*EXP(-0.05*0.201)/100000</f>
        <v>8.7120029259561953E-6</v>
      </c>
      <c r="F4" s="101" t="s">
        <v>146</v>
      </c>
      <c r="G4" s="100">
        <f>1/E4</f>
        <v>114784.16714262569</v>
      </c>
      <c r="H4" s="78"/>
      <c r="I4" s="78"/>
      <c r="J4" s="150"/>
      <c r="K4" s="78" t="s">
        <v>215</v>
      </c>
      <c r="L4" s="78">
        <f>(([1]POLAR!B25)^0.5)/[1]POLAR!A25</f>
        <v>7.9329341588762823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5.2" customHeight="1" thickBot="1">
      <c r="A5" s="82" t="s">
        <v>135</v>
      </c>
      <c r="B5" s="81">
        <v>195045</v>
      </c>
      <c r="C5" s="78"/>
      <c r="D5" s="99" t="s">
        <v>145</v>
      </c>
      <c r="E5" s="97" t="s">
        <v>144</v>
      </c>
      <c r="F5" s="97" t="s">
        <v>143</v>
      </c>
      <c r="G5" s="98" t="s">
        <v>142</v>
      </c>
      <c r="H5" s="97" t="s">
        <v>141</v>
      </c>
      <c r="I5" s="97" t="s">
        <v>140</v>
      </c>
      <c r="J5" s="150"/>
      <c r="K5" s="78" t="s">
        <v>214</v>
      </c>
      <c r="L5" s="78" t="s">
        <v>213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5.4" customHeight="1">
      <c r="A6" s="82" t="s">
        <v>139</v>
      </c>
      <c r="B6" s="81">
        <v>105142</v>
      </c>
      <c r="C6" s="90" t="s">
        <v>17</v>
      </c>
      <c r="D6" s="96">
        <f>B6+B10</f>
        <v>151962</v>
      </c>
      <c r="E6" s="88">
        <f>(1/9.801)*G4*E3*LN(D6/D6)</f>
        <v>0</v>
      </c>
      <c r="F6" s="87">
        <f>E6/3600</f>
        <v>0</v>
      </c>
      <c r="G6" s="95">
        <f>B6+B7</f>
        <v>151962</v>
      </c>
      <c r="H6" s="85"/>
      <c r="I6" s="78"/>
      <c r="J6" s="150"/>
      <c r="K6" s="78">
        <f>G4*SQRT(D6/(0.5*L$2*L$3))*L$4*(1-SQRT(D6/D6))</f>
        <v>0</v>
      </c>
      <c r="L6" s="78">
        <f>K6/1000</f>
        <v>0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5" customHeight="1">
      <c r="A7" s="82" t="s">
        <v>136</v>
      </c>
      <c r="B7" s="81">
        <v>46820</v>
      </c>
      <c r="C7" s="90" t="s">
        <v>138</v>
      </c>
      <c r="D7" s="94">
        <f>B5</f>
        <v>195045</v>
      </c>
      <c r="E7" s="88">
        <f>(1/9.801)*G4*E3*LN(D7/(B6+B7))</f>
        <v>28401.11109674631</v>
      </c>
      <c r="F7" s="87">
        <f>E7/3600</f>
        <v>7.8891975268739749</v>
      </c>
      <c r="G7" s="93">
        <f>B6+B7</f>
        <v>151962</v>
      </c>
      <c r="H7" s="85"/>
      <c r="I7" s="78"/>
      <c r="J7" s="150"/>
      <c r="K7" s="78">
        <f>G$4*SQRT(D7/(0.5*L$2*L$3))*L$4*(1-SQRT((B6+B7)/D7))</f>
        <v>5640807.0822448283</v>
      </c>
      <c r="L7" s="78">
        <f>K7/1000</f>
        <v>5640.8070822448281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5" customHeight="1">
      <c r="A8" s="82" t="s">
        <v>134</v>
      </c>
      <c r="B8" s="81">
        <v>151953</v>
      </c>
      <c r="C8" s="90" t="s">
        <v>137</v>
      </c>
      <c r="D8" s="94">
        <f>B5</f>
        <v>195045</v>
      </c>
      <c r="E8" s="88">
        <f>(1/9.801)*G4*E3*LN(D8/(D8-B8))</f>
        <v>171805.56648652957</v>
      </c>
      <c r="F8" s="87">
        <f>E8/3600</f>
        <v>47.723768468480436</v>
      </c>
      <c r="G8" s="93">
        <f>B5-B8</f>
        <v>43092</v>
      </c>
      <c r="H8" s="85"/>
      <c r="I8" s="78"/>
      <c r="J8" s="150"/>
      <c r="K8" s="78">
        <f>G$4*SQRT(D8/(0.5*L$2*L$3))*L$4*(1-SQRT(D8-B8)/D8)</f>
        <v>48026692.283065595</v>
      </c>
      <c r="L8" s="78">
        <f>K8/1000</f>
        <v>48026.692283065597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5.4" customHeight="1" thickBot="1">
      <c r="A9" s="92"/>
      <c r="B9" s="91"/>
      <c r="C9" s="90" t="s">
        <v>70</v>
      </c>
      <c r="D9" s="89">
        <f>B6+B13</f>
        <v>257095</v>
      </c>
      <c r="E9" s="88">
        <f>(1/9.801)*G4*E3*LN((B6+B8)/B6)</f>
        <v>101740.44049975839</v>
      </c>
      <c r="F9" s="87">
        <f>E9/3600</f>
        <v>28.261233472155109</v>
      </c>
      <c r="G9" s="86">
        <f>B6</f>
        <v>105142</v>
      </c>
      <c r="H9" s="85"/>
      <c r="I9" s="78"/>
      <c r="J9" s="150"/>
      <c r="K9" s="78">
        <f>G$4*SQRT((B6+B8)/(0.5*L$2*L$3))*L$4*(1-SQRT((B6)/(B6+B8)))</f>
        <v>19898872.985475041</v>
      </c>
      <c r="L9" s="78">
        <f>K9/1000</f>
        <v>19898.872985475042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5.2" customHeight="1">
      <c r="A10" s="82" t="s">
        <v>136</v>
      </c>
      <c r="B10" s="81">
        <v>46820</v>
      </c>
      <c r="C10" s="78"/>
      <c r="D10" s="84"/>
      <c r="E10" s="78"/>
      <c r="F10" s="78"/>
      <c r="G10" s="83"/>
      <c r="H10" s="78"/>
      <c r="I10" s="78"/>
      <c r="J10" s="150"/>
      <c r="K10" s="78">
        <v>0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4.45" customHeight="1">
      <c r="A11" s="82" t="s">
        <v>135</v>
      </c>
      <c r="B11" s="81">
        <v>195045</v>
      </c>
      <c r="C11" s="78"/>
      <c r="D11" s="78"/>
      <c r="E11" s="78"/>
      <c r="F11" s="78"/>
      <c r="G11" s="78"/>
      <c r="H11" s="78"/>
      <c r="I11" s="78"/>
      <c r="J11" s="150"/>
      <c r="K11" s="78">
        <v>5640</v>
      </c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4.45" customHeight="1">
      <c r="A12" s="82" t="s">
        <v>135</v>
      </c>
      <c r="B12" s="81">
        <v>195045</v>
      </c>
      <c r="C12" s="78"/>
      <c r="D12" s="78"/>
      <c r="E12" s="78"/>
      <c r="F12" s="78"/>
      <c r="G12" s="78"/>
      <c r="H12" s="78"/>
      <c r="I12" s="78"/>
      <c r="J12" s="150"/>
      <c r="K12" s="78">
        <v>48026</v>
      </c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4.45" customHeight="1">
      <c r="A13" s="82" t="s">
        <v>134</v>
      </c>
      <c r="B13" s="81">
        <v>151953</v>
      </c>
      <c r="C13" s="78"/>
      <c r="D13" s="78"/>
      <c r="E13" s="78"/>
      <c r="F13" s="78"/>
      <c r="G13" s="78"/>
      <c r="H13" s="78"/>
      <c r="I13" s="78"/>
      <c r="J13" s="150"/>
      <c r="K13" s="78">
        <v>19898</v>
      </c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4.45" customHeight="1">
      <c r="A14" s="80"/>
      <c r="B14" s="79"/>
      <c r="C14" s="78"/>
      <c r="D14" s="78"/>
      <c r="E14" s="78"/>
      <c r="F14" s="78"/>
      <c r="G14" s="78"/>
      <c r="H14" s="78"/>
      <c r="I14" s="78"/>
      <c r="J14" s="150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4.45" customHeight="1">
      <c r="A15" s="80"/>
      <c r="B15" s="79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4.45" customHeight="1">
      <c r="A16" s="80"/>
      <c r="B16" s="79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4.45" customHeight="1">
      <c r="A17" s="80"/>
      <c r="B17" s="79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4.45" customHeight="1">
      <c r="A18" s="80"/>
      <c r="B18" s="79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4.45" customHeight="1">
      <c r="A19" s="80"/>
      <c r="B19" s="79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4.45" customHeight="1">
      <c r="A20" s="80"/>
      <c r="B20" s="79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4.45" customHeight="1">
      <c r="A21" s="80"/>
      <c r="B21" s="79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4.45" customHeight="1">
      <c r="A22" s="80"/>
      <c r="B22" s="79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4.45" customHeight="1">
      <c r="A23" s="80"/>
      <c r="B23" s="79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4.45" customHeight="1">
      <c r="A24" s="80"/>
      <c r="B24" s="79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4.45" customHeight="1">
      <c r="A25" s="80"/>
      <c r="B25" s="79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4.45" customHeight="1">
      <c r="A26" s="80"/>
      <c r="B26" s="79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4.45" customHeight="1">
      <c r="A27" s="80"/>
      <c r="B27" s="79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4.45" customHeight="1">
      <c r="A28" s="80"/>
      <c r="B28" s="79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4.45" customHeight="1">
      <c r="A29" s="80"/>
      <c r="B29" s="79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4.45" customHeight="1">
      <c r="A30" s="80"/>
      <c r="B30" s="7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4.45" customHeight="1">
      <c r="A31" s="80"/>
      <c r="B31" s="79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4.45" customHeight="1">
      <c r="A32" s="80"/>
      <c r="B32" s="79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4.45" customHeight="1">
      <c r="A33" s="80"/>
      <c r="B33" s="79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4.45" customHeight="1">
      <c r="A34" s="80"/>
      <c r="B34" s="79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7"/>
  <sheetViews>
    <sheetView topLeftCell="A10" workbookViewId="0">
      <selection activeCell="G29" sqref="G29"/>
    </sheetView>
  </sheetViews>
  <sheetFormatPr baseColWidth="10" defaultRowHeight="15"/>
  <cols>
    <col min="2" max="2" width="12.5703125" bestFit="1" customWidth="1"/>
    <col min="5" max="5" width="11.85546875" bestFit="1" customWidth="1"/>
  </cols>
  <sheetData>
    <row r="1" spans="1:16" ht="18">
      <c r="A1" s="157" t="s">
        <v>227</v>
      </c>
      <c r="B1" s="156">
        <v>1913391</v>
      </c>
      <c r="C1" s="156"/>
      <c r="D1" s="157" t="s">
        <v>228</v>
      </c>
      <c r="E1" s="156">
        <f>SQRT((2/B4)*(B1/B3)*(1/B5))</f>
        <v>69.310048713095995</v>
      </c>
      <c r="F1" s="156"/>
      <c r="G1" s="157" t="s">
        <v>70</v>
      </c>
      <c r="H1" s="156">
        <f>0.5*1.225*E2^2*B3*E5</f>
        <v>21786.29004528523</v>
      </c>
      <c r="I1" s="156"/>
      <c r="J1" s="159" t="s">
        <v>118</v>
      </c>
      <c r="K1" s="156">
        <v>1689939</v>
      </c>
      <c r="L1" s="156"/>
      <c r="M1" s="156"/>
      <c r="N1" s="156"/>
      <c r="O1" s="156"/>
      <c r="P1" s="156"/>
    </row>
    <row r="2" spans="1:16" ht="19.5">
      <c r="A2" s="158" t="s">
        <v>229</v>
      </c>
      <c r="B2" s="156">
        <v>0.04</v>
      </c>
      <c r="C2" s="156"/>
      <c r="D2" s="157" t="s">
        <v>230</v>
      </c>
      <c r="E2" s="156">
        <f>0.7*1.2*E1</f>
        <v>58.22044091900063</v>
      </c>
      <c r="F2" s="156"/>
      <c r="G2" s="157" t="s">
        <v>231</v>
      </c>
      <c r="H2" s="156">
        <f>0.5*1.225*E2^2*B3*0.1</f>
        <v>74471.216812841274</v>
      </c>
      <c r="I2" s="156"/>
      <c r="J2" s="159" t="s">
        <v>119</v>
      </c>
      <c r="K2" s="156">
        <v>1436193</v>
      </c>
      <c r="L2" s="156"/>
      <c r="M2" s="156"/>
      <c r="N2" s="156"/>
      <c r="O2" s="156"/>
      <c r="P2" s="156"/>
    </row>
    <row r="3" spans="1:16">
      <c r="A3" s="157" t="s">
        <v>77</v>
      </c>
      <c r="B3" s="156">
        <v>358.7</v>
      </c>
      <c r="C3" s="156"/>
      <c r="D3" s="157" t="s">
        <v>39</v>
      </c>
      <c r="E3" s="156">
        <v>0.81100000000000005</v>
      </c>
      <c r="F3" s="156"/>
      <c r="G3" s="157" t="s">
        <v>232</v>
      </c>
      <c r="H3" s="156">
        <v>356500</v>
      </c>
      <c r="I3" s="156"/>
      <c r="J3" s="156"/>
      <c r="K3" s="156"/>
      <c r="L3" s="156"/>
      <c r="M3" s="156"/>
      <c r="N3" s="156"/>
      <c r="O3" s="156"/>
      <c r="P3" s="156"/>
    </row>
    <row r="4" spans="1:16" ht="15.75">
      <c r="A4" s="158" t="s">
        <v>233</v>
      </c>
      <c r="B4" s="156">
        <v>1.2250000000000001</v>
      </c>
      <c r="C4" s="156"/>
      <c r="D4" s="157" t="s">
        <v>234</v>
      </c>
      <c r="E4" s="156">
        <v>0.1</v>
      </c>
      <c r="F4" s="156"/>
      <c r="G4" s="159"/>
      <c r="H4" s="156"/>
      <c r="I4" s="156"/>
      <c r="J4" s="156"/>
      <c r="K4" s="156"/>
      <c r="L4" s="156"/>
      <c r="M4" s="156"/>
      <c r="N4" s="156"/>
      <c r="O4" s="156"/>
      <c r="P4" s="156"/>
    </row>
    <row r="5" spans="1:16">
      <c r="A5" s="157" t="s">
        <v>235</v>
      </c>
      <c r="B5" s="156">
        <f>1.2086*1.5</f>
        <v>1.8129</v>
      </c>
      <c r="C5" s="156"/>
      <c r="D5" s="157" t="s">
        <v>236</v>
      </c>
      <c r="E5" s="156">
        <f>[3]DATOS!J17+('[3]Carrera despuegue'!E4^2/3.1415*[3]DATOS!B6*'[3]Carrera despuegue'!E3)</f>
        <v>2.9254644918771572E-2</v>
      </c>
      <c r="F5" s="156"/>
      <c r="G5" s="159"/>
      <c r="H5" s="156"/>
      <c r="I5" s="156"/>
      <c r="J5" s="156"/>
      <c r="K5" s="156"/>
      <c r="L5" s="156"/>
      <c r="M5" s="156"/>
      <c r="N5" s="156"/>
      <c r="O5" s="156"/>
      <c r="P5" s="156"/>
    </row>
    <row r="6" spans="1:16">
      <c r="A6" s="121"/>
      <c r="B6" s="121"/>
      <c r="C6" s="121"/>
      <c r="D6" s="121"/>
      <c r="E6" s="121"/>
      <c r="F6" s="121"/>
      <c r="G6" s="121"/>
      <c r="H6" s="160" t="s">
        <v>237</v>
      </c>
      <c r="I6" s="121"/>
      <c r="J6" s="121"/>
      <c r="K6" s="121"/>
      <c r="L6" s="121"/>
      <c r="M6" s="121"/>
      <c r="N6" s="121"/>
      <c r="O6" s="121"/>
      <c r="P6" s="121"/>
    </row>
    <row r="7" spans="1:16">
      <c r="A7" s="161"/>
      <c r="B7" s="161"/>
      <c r="C7" s="161" t="s">
        <v>238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</row>
    <row r="8" spans="1:16">
      <c r="A8" s="127" t="s">
        <v>239</v>
      </c>
      <c r="B8" s="162">
        <f>(1.44*B1^2)/(9.81*1.225*358.7*1.8129*(H3-(H1+0.04*(B1-H2))))</f>
        <v>2583.2003348672743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</row>
    <row r="9" spans="1:16">
      <c r="A9" s="117" t="s">
        <v>240</v>
      </c>
      <c r="B9" s="162">
        <f>(1.44*K1^2)/(9.81*1.225*358.7*1.8129*(H3-(H1+0.04*(B1-H2))))</f>
        <v>2015.0818524736715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>
      <c r="A10" s="117" t="s">
        <v>241</v>
      </c>
      <c r="B10" s="162">
        <f>(1.44*K2^2)/(9.81*1.225*358.7*1.8129*(H3-(H1+0.04*(B1-H2))))</f>
        <v>1455.3794752472149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</row>
    <row r="11" spans="1:16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</row>
    <row r="12" spans="1:16">
      <c r="A12" s="121"/>
      <c r="B12" s="121"/>
      <c r="C12" s="121"/>
      <c r="D12" s="121"/>
      <c r="E12" s="121"/>
      <c r="F12" s="121"/>
      <c r="G12" s="121"/>
      <c r="H12" s="121" t="s">
        <v>242</v>
      </c>
      <c r="I12" s="121"/>
      <c r="J12" s="121"/>
      <c r="K12" s="121"/>
      <c r="L12" s="121"/>
      <c r="M12" s="121"/>
      <c r="N12" s="121"/>
      <c r="O12" s="121"/>
      <c r="P12" s="121"/>
    </row>
    <row r="13" spans="1:16" ht="18">
      <c r="A13" s="157" t="s">
        <v>227</v>
      </c>
      <c r="B13" s="156">
        <v>1913391</v>
      </c>
      <c r="C13" s="156"/>
      <c r="D13" s="157" t="s">
        <v>228</v>
      </c>
      <c r="E13" s="68">
        <f>SQRT((2/$B$4)*(B13/B3)*(1/B17))</f>
        <v>62.410256775359258</v>
      </c>
      <c r="F13" s="136"/>
      <c r="G13" s="159" t="s">
        <v>118</v>
      </c>
      <c r="H13" s="156">
        <v>1689939</v>
      </c>
      <c r="I13" s="156"/>
      <c r="J13" s="68" t="s">
        <v>70</v>
      </c>
      <c r="K13" s="156">
        <f>0.5*1.225*E14^2*B15*E17</f>
        <v>17664.55954522462</v>
      </c>
      <c r="L13" s="156"/>
      <c r="M13" s="156"/>
      <c r="N13" s="156"/>
      <c r="O13" s="156"/>
      <c r="P13" s="156"/>
    </row>
    <row r="14" spans="1:16" ht="19.5">
      <c r="A14" s="158" t="s">
        <v>229</v>
      </c>
      <c r="B14" s="156">
        <v>0.4</v>
      </c>
      <c r="C14" s="156"/>
      <c r="D14" s="157" t="s">
        <v>230</v>
      </c>
      <c r="E14" s="156">
        <f>0.7*1.2*E13</f>
        <v>52.424615691301774</v>
      </c>
      <c r="F14" s="156"/>
      <c r="G14" s="159" t="s">
        <v>119</v>
      </c>
      <c r="H14" s="156">
        <v>1436193</v>
      </c>
      <c r="I14" s="156"/>
      <c r="J14" s="68" t="s">
        <v>231</v>
      </c>
      <c r="K14" s="156">
        <f>0.5*1.225*E14^2*B15*0.1</f>
        <v>60382.067686087525</v>
      </c>
      <c r="L14" s="156"/>
      <c r="M14" s="156"/>
      <c r="N14" s="156"/>
      <c r="O14" s="156"/>
      <c r="P14" s="156"/>
    </row>
    <row r="15" spans="1:16">
      <c r="A15" s="157" t="s">
        <v>77</v>
      </c>
      <c r="B15" s="156">
        <v>358.7</v>
      </c>
      <c r="C15" s="156"/>
      <c r="D15" s="157" t="s">
        <v>39</v>
      </c>
      <c r="E15" s="156">
        <v>0.81100000000000005</v>
      </c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</row>
    <row r="16" spans="1:16" ht="15.75">
      <c r="A16" s="158" t="s">
        <v>233</v>
      </c>
      <c r="B16" s="156">
        <v>1.2250000000000001</v>
      </c>
      <c r="C16" s="156"/>
      <c r="D16" s="157" t="s">
        <v>234</v>
      </c>
      <c r="E16" s="156">
        <v>0.1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1:16">
      <c r="A17" s="157" t="s">
        <v>235</v>
      </c>
      <c r="B17" s="156">
        <f>1.2086*1.85</f>
        <v>2.2359100000000001</v>
      </c>
      <c r="C17" s="156"/>
      <c r="D17" s="157" t="s">
        <v>236</v>
      </c>
      <c r="E17" s="156">
        <v>2.9254644999999999E-2</v>
      </c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</row>
    <row r="19" spans="1:16" ht="18">
      <c r="A19" s="127" t="s">
        <v>243</v>
      </c>
      <c r="B19" s="163">
        <f>(1.69*B13^2)/(9.81*1.225*B3*B17*(K13+B14*(B13-K14)))</f>
        <v>845.93511217376408</v>
      </c>
    </row>
    <row r="20" spans="1:16">
      <c r="A20" s="127" t="s">
        <v>244</v>
      </c>
      <c r="B20" s="162">
        <f>(1.69*H13^2)/(9.81*1.225*B3*B17*(K13+B14*(B13-K14)))</f>
        <v>659.89016411273269</v>
      </c>
    </row>
    <row r="21" spans="1:16">
      <c r="A21" s="127" t="s">
        <v>245</v>
      </c>
      <c r="B21" s="162">
        <f>(1.69*H14^2)/(9.81*1.225*B3*B17*(K13+B14*(B13-K14)))</f>
        <v>476.60128524716367</v>
      </c>
    </row>
    <row r="23" spans="1:16">
      <c r="A23" s="164" t="s">
        <v>252</v>
      </c>
      <c r="B23" s="165"/>
      <c r="C23" s="165"/>
      <c r="D23" s="165"/>
      <c r="E23" s="165"/>
      <c r="F23" s="165"/>
      <c r="G23" s="165"/>
      <c r="H23" s="165"/>
      <c r="I23" s="165"/>
      <c r="J23" s="165"/>
    </row>
    <row r="24" spans="1:16">
      <c r="A24" s="165"/>
      <c r="B24" s="165"/>
      <c r="C24" s="165"/>
      <c r="D24" s="165"/>
      <c r="E24" s="165"/>
      <c r="F24" s="165"/>
      <c r="G24" s="165"/>
      <c r="H24" s="165"/>
      <c r="I24" s="165"/>
      <c r="J24" s="165"/>
    </row>
    <row r="25" spans="1:16">
      <c r="A25" s="164" t="s">
        <v>246</v>
      </c>
      <c r="B25" s="165"/>
      <c r="C25" s="165"/>
      <c r="D25" s="165"/>
      <c r="E25" s="165"/>
      <c r="F25" s="165"/>
      <c r="G25" s="165"/>
      <c r="H25" s="165"/>
      <c r="I25" s="165"/>
      <c r="J25" s="165"/>
    </row>
    <row r="26" spans="1:16">
      <c r="A26" s="164" t="s">
        <v>247</v>
      </c>
      <c r="B26" s="165"/>
      <c r="C26" s="165" t="s">
        <v>248</v>
      </c>
      <c r="D26" s="164" t="s">
        <v>249</v>
      </c>
      <c r="E26" s="165"/>
      <c r="F26" s="165"/>
      <c r="G26" s="165"/>
      <c r="H26" s="165"/>
      <c r="I26" s="165"/>
      <c r="J26" s="165"/>
    </row>
    <row r="27" spans="1:16">
      <c r="A27" s="164" t="s">
        <v>250</v>
      </c>
      <c r="B27" s="165"/>
      <c r="C27" s="165"/>
      <c r="D27" s="165"/>
      <c r="E27" s="164" t="s">
        <v>251</v>
      </c>
      <c r="F27" s="165"/>
      <c r="G27" s="165"/>
      <c r="H27" s="165"/>
      <c r="I27" s="165"/>
      <c r="J27" s="1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6"/>
  <sheetViews>
    <sheetView workbookViewId="0">
      <selection activeCell="L8" sqref="L8"/>
    </sheetView>
  </sheetViews>
  <sheetFormatPr baseColWidth="10" defaultRowHeight="15"/>
  <cols>
    <col min="3" max="3" width="12" bestFit="1" customWidth="1"/>
    <col min="5" max="5" width="13.140625" customWidth="1"/>
    <col min="6" max="7" width="13.140625" style="166" customWidth="1"/>
    <col min="10" max="10" width="11.5703125" style="166"/>
  </cols>
  <sheetData>
    <row r="1" spans="1:12" ht="18">
      <c r="A1" s="167" t="s">
        <v>218</v>
      </c>
      <c r="B1" s="167" t="s">
        <v>219</v>
      </c>
      <c r="C1" s="167" t="s">
        <v>68</v>
      </c>
      <c r="D1" s="168" t="s">
        <v>220</v>
      </c>
      <c r="E1" s="168" t="s">
        <v>221</v>
      </c>
      <c r="F1" s="168" t="s">
        <v>253</v>
      </c>
      <c r="G1" s="168" t="s">
        <v>254</v>
      </c>
      <c r="H1" s="168" t="s">
        <v>222</v>
      </c>
      <c r="I1" s="168" t="s">
        <v>223</v>
      </c>
      <c r="J1" s="170"/>
    </row>
    <row r="2" spans="1:12">
      <c r="A2" s="5">
        <v>20</v>
      </c>
      <c r="B2" s="38">
        <f>ESTABILIDAD!A2/SQRT(1.41*287.05*EDisponible!$C$7)</f>
        <v>5.8564218430171157E-2</v>
      </c>
      <c r="C2" s="38">
        <f>(2*$L$2)/(1.225*A2^2*DATOS!B$5)</f>
        <v>21.772403179281191</v>
      </c>
      <c r="D2" s="38">
        <f>0.01312559+((C2^2)/(PI()*(6.25*0.8112)))</f>
        <v>29.774631599522625</v>
      </c>
      <c r="E2" s="169">
        <f>0.5*'ENecesario(W1)'!C7*'ENecesario(W1)'!E7</f>
        <v>2605283.0840445594</v>
      </c>
      <c r="F2" s="38">
        <f>(-$L$4*(2*$L$2/($L$3*A2^2))^2)*(4/A2^5)</f>
        <v>-4.7884545065617043</v>
      </c>
      <c r="G2" s="38">
        <f>2*$L$4*C2*$L$5</f>
        <v>15.211681077746187</v>
      </c>
      <c r="H2" s="170">
        <f>-2*D2-A2*F2</f>
        <v>36.219826932188845</v>
      </c>
      <c r="I2" s="170">
        <f>C2-G2</f>
        <v>6.5607221015350046</v>
      </c>
      <c r="J2" s="170"/>
      <c r="K2" s="68" t="s">
        <v>224</v>
      </c>
      <c r="L2">
        <f>DATOS!M12*9.81</f>
        <v>1913391.4500000002</v>
      </c>
    </row>
    <row r="3" spans="1:12">
      <c r="A3" s="5">
        <v>25</v>
      </c>
      <c r="B3" s="38">
        <f>ESTABILIDAD!A3/SQRT(1.41*287.05*EDisponible!$C$7)</f>
        <v>7.3205273037713944E-2</v>
      </c>
      <c r="C3" s="38">
        <f>(2*$L$2)/(1.225*A3^2*DATOS!B$5)</f>
        <v>13.934338034739964</v>
      </c>
      <c r="D3" s="38">
        <f t="shared" ref="D3:D66" si="0">0.01312559+((C3^2)/(PI()*(6.25*0.8112)))</f>
        <v>12.203438451500469</v>
      </c>
      <c r="E3" s="169">
        <f>0.5*'ENecesario(W1)'!C8*'ENecesario(W1)'!E8</f>
        <v>1668450.2988353951</v>
      </c>
      <c r="F3" s="38">
        <f t="shared" ref="F3:F66" si="1">(-$L$4*(2*$L$2/($L$3*A3^2))^2)*(4/A3^5)</f>
        <v>-0.64269548450207337</v>
      </c>
      <c r="G3" s="38">
        <f t="shared" ref="G3:G66" si="2">2*$L$4*C3*$L$5</f>
        <v>9.7354758897575611</v>
      </c>
      <c r="H3" s="170">
        <f t="shared" ref="H3:H66" si="3">-2*D3-A3*F3</f>
        <v>-8.3394897904491039</v>
      </c>
      <c r="I3" s="170">
        <f t="shared" ref="I3:I66" si="4">C3-G3</f>
        <v>4.1988621449824031</v>
      </c>
      <c r="J3" s="170"/>
      <c r="K3" s="68" t="s">
        <v>225</v>
      </c>
      <c r="L3">
        <v>1.2250000000000001</v>
      </c>
    </row>
    <row r="4" spans="1:12">
      <c r="A4" s="5">
        <v>30</v>
      </c>
      <c r="B4" s="38">
        <f>ESTABILIDAD!A4/SQRT(1.41*287.05*EDisponible!$C$7)</f>
        <v>8.7846327645256725E-2</v>
      </c>
      <c r="C4" s="38">
        <f>(2*$L$2)/(1.225*A4^2*DATOS!B$5)</f>
        <v>9.6766236352360853</v>
      </c>
      <c r="D4" s="38">
        <f t="shared" si="0"/>
        <v>5.8919415918810119</v>
      </c>
      <c r="E4" s="169">
        <f>0.5*'ENecesario(W1)'!C9*'ENecesario(W1)'!E9</f>
        <v>1159996.1291341376</v>
      </c>
      <c r="F4" s="38">
        <f t="shared" si="1"/>
        <v>-0.12455869061421494</v>
      </c>
      <c r="G4" s="38">
        <f t="shared" si="2"/>
        <v>6.7607471456649728</v>
      </c>
      <c r="H4" s="170">
        <f t="shared" si="3"/>
        <v>-8.0471224653355762</v>
      </c>
      <c r="I4" s="170">
        <f t="shared" si="4"/>
        <v>2.9158764895711125</v>
      </c>
      <c r="J4" s="170"/>
      <c r="K4" s="68" t="s">
        <v>226</v>
      </c>
      <c r="L4">
        <f>1/(3.1415*DATOS!B6*DATOS!J18)</f>
        <v>6.280726230785981E-2</v>
      </c>
    </row>
    <row r="5" spans="1:12">
      <c r="A5" s="5">
        <v>35</v>
      </c>
      <c r="B5" s="38">
        <f>ESTABILIDAD!A5/SQRT(1.41*287.05*EDisponible!$C$7)</f>
        <v>0.10248738225279952</v>
      </c>
      <c r="C5" s="38">
        <f>(2*$L$2)/(1.225*A5^2*DATOS!B$5)</f>
        <v>7.1093561401734506</v>
      </c>
      <c r="D5" s="38">
        <f t="shared" si="0"/>
        <v>3.1863640483247786</v>
      </c>
      <c r="E5" s="169">
        <f>0.5*'ENecesario(W1)'!C10*'ENecesario(W1)'!E10</f>
        <v>853875.51345820865</v>
      </c>
      <c r="F5" s="38">
        <f t="shared" si="1"/>
        <v>-3.1106627424113832E-2</v>
      </c>
      <c r="G5" s="38">
        <f t="shared" si="2"/>
        <v>4.9670795355905915</v>
      </c>
      <c r="H5" s="170">
        <f t="shared" si="3"/>
        <v>-5.2839961368055732</v>
      </c>
      <c r="I5" s="170">
        <f t="shared" si="4"/>
        <v>2.1422766045828592</v>
      </c>
      <c r="J5" s="170"/>
      <c r="K5" s="68" t="s">
        <v>255</v>
      </c>
      <c r="L5">
        <v>5.5620000000000003</v>
      </c>
    </row>
    <row r="6" spans="1:12">
      <c r="A6" s="5">
        <v>40</v>
      </c>
      <c r="B6" s="38">
        <f>ESTABILIDAD!A6/SQRT(1.41*287.05*EDisponible!$C$7)</f>
        <v>0.11712843686034231</v>
      </c>
      <c r="C6" s="38">
        <f>(2*$L$2)/(1.225*A6^2*DATOS!B$5)</f>
        <v>5.4431007948202978</v>
      </c>
      <c r="D6" s="38">
        <f t="shared" si="0"/>
        <v>1.873219715595164</v>
      </c>
      <c r="E6" s="169">
        <f>0.5*'ENecesario(W1)'!C11*'ENecesario(W1)'!E11</f>
        <v>655666.80778706376</v>
      </c>
      <c r="F6" s="38">
        <f t="shared" si="1"/>
        <v>-9.3524502081283288E-3</v>
      </c>
      <c r="G6" s="38">
        <f t="shared" si="2"/>
        <v>3.8029202694365467</v>
      </c>
      <c r="H6" s="170">
        <f t="shared" si="3"/>
        <v>-3.3723414228651949</v>
      </c>
      <c r="I6" s="170">
        <f t="shared" si="4"/>
        <v>1.6401805253837511</v>
      </c>
      <c r="J6" s="170"/>
    </row>
    <row r="7" spans="1:12">
      <c r="A7" s="5">
        <v>45</v>
      </c>
      <c r="B7" s="38">
        <f>ESTABILIDAD!A7/SQRT(1.41*287.05*EDisponible!$C$7)</f>
        <v>0.13176949146788511</v>
      </c>
      <c r="C7" s="38">
        <f>(2*$L$2)/(1.225*A7^2*DATOS!B$5)</f>
        <v>4.3007216156604828</v>
      </c>
      <c r="D7" s="38">
        <f t="shared" si="0"/>
        <v>1.17437319530983</v>
      </c>
      <c r="E7" s="169">
        <f>0.5*'ENecesario(W1)'!C12*'ENecesario(W1)'!E12</f>
        <v>520262.04167797888</v>
      </c>
      <c r="F7" s="38">
        <f t="shared" si="1"/>
        <v>-3.2400573893450217E-3</v>
      </c>
      <c r="G7" s="38">
        <f t="shared" si="2"/>
        <v>3.0047765091844325</v>
      </c>
      <c r="H7" s="170">
        <f t="shared" si="3"/>
        <v>-2.2029438080991341</v>
      </c>
      <c r="I7" s="170">
        <f t="shared" si="4"/>
        <v>1.2959451064760503</v>
      </c>
      <c r="J7" s="170"/>
    </row>
    <row r="8" spans="1:12">
      <c r="A8" s="5">
        <v>50</v>
      </c>
      <c r="B8" s="38">
        <f>ESTABILIDAD!A8/SQRT(1.41*287.05*EDisponible!$C$7)</f>
        <v>0.14641054607542789</v>
      </c>
      <c r="C8" s="38">
        <f>(2*$L$2)/(1.225*A8^2*DATOS!B$5)</f>
        <v>3.483584508684991</v>
      </c>
      <c r="D8" s="38">
        <f t="shared" si="0"/>
        <v>0.77502014384377937</v>
      </c>
      <c r="E8" s="169">
        <f>0.5*'ENecesario(W1)'!C13*'ENecesario(W1)'!E13</f>
        <v>423903.25717122987</v>
      </c>
      <c r="F8" s="38">
        <f t="shared" si="1"/>
        <v>-1.255264618168112E-3</v>
      </c>
      <c r="G8" s="38">
        <f t="shared" si="2"/>
        <v>2.4338689724393903</v>
      </c>
      <c r="H8" s="170">
        <f t="shared" si="3"/>
        <v>-1.4872770567791531</v>
      </c>
      <c r="I8" s="170">
        <f t="shared" si="4"/>
        <v>1.0497155362456008</v>
      </c>
      <c r="J8" s="170"/>
    </row>
    <row r="9" spans="1:12">
      <c r="A9" s="5">
        <v>55</v>
      </c>
      <c r="B9" s="38">
        <f>ESTABILIDAD!A9/SQRT(1.41*287.05*EDisponible!$C$7)</f>
        <v>0.16105160068297067</v>
      </c>
      <c r="C9" s="38">
        <f>(2*$L$2)/(1.225*A9^2*DATOS!B$5)</f>
        <v>2.8789954617231324</v>
      </c>
      <c r="D9" s="38">
        <f t="shared" si="0"/>
        <v>0.53350982184466844</v>
      </c>
      <c r="E9" s="169">
        <f>0.5*'ENecesario(W1)'!C14*'ENecesario(W1)'!E14</f>
        <v>353111.50133669999</v>
      </c>
      <c r="F9" s="38">
        <f t="shared" si="1"/>
        <v>-5.3235473499234267E-4</v>
      </c>
      <c r="G9" s="38">
        <f t="shared" si="2"/>
        <v>2.0114619606937105</v>
      </c>
      <c r="H9" s="170">
        <f t="shared" si="3"/>
        <v>-1.037740133264758</v>
      </c>
      <c r="I9" s="170">
        <f t="shared" si="4"/>
        <v>0.86753350102942184</v>
      </c>
      <c r="J9" s="170"/>
    </row>
    <row r="10" spans="1:12">
      <c r="A10" s="5">
        <v>60</v>
      </c>
      <c r="B10" s="38">
        <f>ESTABILIDAD!A10/SQRT(1.41*287.05*EDisponible!$C$7)</f>
        <v>0.17569265529051345</v>
      </c>
      <c r="C10" s="38">
        <f>(2*$L$2)/(1.225*A10^2*DATOS!B$5)</f>
        <v>2.4191559088090213</v>
      </c>
      <c r="D10" s="38">
        <f t="shared" si="0"/>
        <v>0.38055159011756329</v>
      </c>
      <c r="E10" s="169">
        <f>0.5*'ENecesario(W1)'!C15*'ENecesario(W1)'!E15</f>
        <v>299777.61502936314</v>
      </c>
      <c r="F10" s="38">
        <f t="shared" si="1"/>
        <v>-2.4327869260588856E-4</v>
      </c>
      <c r="G10" s="38">
        <f t="shared" si="2"/>
        <v>1.6901867864162432</v>
      </c>
      <c r="H10" s="170">
        <f t="shared" si="3"/>
        <v>-0.7465064586787733</v>
      </c>
      <c r="I10" s="170">
        <f t="shared" si="4"/>
        <v>0.72896912239277811</v>
      </c>
      <c r="J10" s="170"/>
    </row>
    <row r="11" spans="1:12">
      <c r="A11" s="5">
        <v>65</v>
      </c>
      <c r="B11" s="38">
        <f>ESTABILIDAD!A11/SQRT(1.41*287.05*EDisponible!$C$7)</f>
        <v>0.19033370989805626</v>
      </c>
      <c r="C11" s="38">
        <f>(2*$L$2)/(1.225*A11^2*DATOS!B$5)</f>
        <v>2.0612926086893437</v>
      </c>
      <c r="D11" s="38">
        <f t="shared" si="0"/>
        <v>0.27988605141373879</v>
      </c>
      <c r="E11" s="169">
        <f>0.5*'ENecesario(W1)'!C16*'ENecesario(W1)'!E16</f>
        <v>258785.63428257412</v>
      </c>
      <c r="F11" s="38">
        <f t="shared" si="1"/>
        <v>-1.1837094557845203E-4</v>
      </c>
      <c r="G11" s="38">
        <f t="shared" si="2"/>
        <v>1.4401591552895798</v>
      </c>
      <c r="H11" s="170">
        <f t="shared" si="3"/>
        <v>-0.55207799136487823</v>
      </c>
      <c r="I11" s="170">
        <f t="shared" si="4"/>
        <v>0.62113345339976389</v>
      </c>
      <c r="J11" s="170"/>
    </row>
    <row r="12" spans="1:12">
      <c r="A12" s="5">
        <v>70</v>
      </c>
      <c r="B12" s="38">
        <f>ESTABILIDAD!A12/SQRT(1.41*287.05*EDisponible!$C$7)</f>
        <v>0.20497476450559904</v>
      </c>
      <c r="C12" s="38">
        <f>(2*$L$2)/(1.225*A12^2*DATOS!B$5)</f>
        <v>1.7773390350433627</v>
      </c>
      <c r="D12" s="38">
        <f t="shared" si="0"/>
        <v>0.21145299364529865</v>
      </c>
      <c r="E12" s="169">
        <f>0.5*'ENecesario(W1)'!C17*'ENecesario(W1)'!E17</f>
        <v>226778.61599081903</v>
      </c>
      <c r="F12" s="38">
        <f t="shared" si="1"/>
        <v>-6.0755131687722328E-5</v>
      </c>
      <c r="G12" s="38">
        <f t="shared" si="2"/>
        <v>1.2417698838976479</v>
      </c>
      <c r="H12" s="170">
        <f t="shared" si="3"/>
        <v>-0.41865312807245675</v>
      </c>
      <c r="I12" s="170">
        <f t="shared" si="4"/>
        <v>0.53556915114571479</v>
      </c>
      <c r="J12" s="170"/>
    </row>
    <row r="13" spans="1:12">
      <c r="A13" s="5">
        <v>75</v>
      </c>
      <c r="B13" s="38">
        <f>ESTABILIDAD!A13/SQRT(1.41*287.05*EDisponible!$C$7)</f>
        <v>0.21961581911314182</v>
      </c>
      <c r="C13" s="38">
        <f>(2*$L$2)/(1.225*A13^2*DATOS!B$5)</f>
        <v>1.5482597816377734</v>
      </c>
      <c r="D13" s="38">
        <f t="shared" si="0"/>
        <v>0.16362327964815387</v>
      </c>
      <c r="E13" s="169">
        <f>0.5*'ENecesario(W1)'!C18*'ENecesario(W1)'!E18</f>
        <v>201479.79904068788</v>
      </c>
      <c r="F13" s="38">
        <f t="shared" si="1"/>
        <v>-3.2652313392372747E-5</v>
      </c>
      <c r="G13" s="38">
        <f t="shared" si="2"/>
        <v>1.0817195433063955</v>
      </c>
      <c r="H13" s="170">
        <f t="shared" si="3"/>
        <v>-0.32479763579187981</v>
      </c>
      <c r="I13" s="170">
        <f t="shared" si="4"/>
        <v>0.46654023833137792</v>
      </c>
      <c r="J13" s="170"/>
    </row>
    <row r="14" spans="1:12">
      <c r="A14" s="5">
        <v>80</v>
      </c>
      <c r="B14" s="38">
        <f>ESTABILIDAD!A14/SQRT(1.41*287.05*EDisponible!$C$7)</f>
        <v>0.23425687372068463</v>
      </c>
      <c r="C14" s="38">
        <f>(2*$L$2)/(1.225*A14^2*DATOS!B$5)</f>
        <v>1.3607751987050745</v>
      </c>
      <c r="D14" s="38">
        <f t="shared" si="0"/>
        <v>0.12938147284969775</v>
      </c>
      <c r="E14" s="169">
        <f>0.5*'ENecesario(W1)'!C19*'ENecesario(W1)'!E19</f>
        <v>181300.84905046143</v>
      </c>
      <c r="F14" s="38">
        <f t="shared" si="1"/>
        <v>-1.8266504312750642E-5</v>
      </c>
      <c r="G14" s="38">
        <f t="shared" si="2"/>
        <v>0.95073006735913668</v>
      </c>
      <c r="H14" s="170">
        <f t="shared" si="3"/>
        <v>-0.25730162535437545</v>
      </c>
      <c r="I14" s="170">
        <f t="shared" si="4"/>
        <v>0.41004513134593779</v>
      </c>
      <c r="J14" s="170"/>
    </row>
    <row r="15" spans="1:12">
      <c r="A15" s="5">
        <v>85</v>
      </c>
      <c r="B15" s="38">
        <f>ESTABILIDAD!A15/SQRT(1.41*287.05*EDisponible!$C$7)</f>
        <v>0.24889792832822741</v>
      </c>
      <c r="C15" s="38">
        <f>(2*$L$2)/(1.225*A15^2*DATOS!B$5)</f>
        <v>1.2053925635588203</v>
      </c>
      <c r="D15" s="38">
        <f t="shared" si="0"/>
        <v>0.1043475047093281</v>
      </c>
      <c r="E15" s="169">
        <f>0.5*'ENecesario(W1)'!C20*'ENecesario(W1)'!E20</f>
        <v>165106.37328893182</v>
      </c>
      <c r="F15" s="38">
        <f t="shared" si="1"/>
        <v>-1.0585100730763712E-5</v>
      </c>
      <c r="G15" s="38">
        <f t="shared" si="2"/>
        <v>0.84216919461570594</v>
      </c>
      <c r="H15" s="170">
        <f t="shared" si="3"/>
        <v>-0.20779527585654128</v>
      </c>
      <c r="I15" s="170">
        <f t="shared" si="4"/>
        <v>0.36322336894311436</v>
      </c>
      <c r="J15" s="170"/>
    </row>
    <row r="16" spans="1:12">
      <c r="A16" s="5">
        <v>90</v>
      </c>
      <c r="B16" s="38">
        <f>ESTABILIDAD!A16/SQRT(1.41*287.05*EDisponible!$C$7)</f>
        <v>0.26353898293577022</v>
      </c>
      <c r="C16" s="38">
        <f>(2*$L$2)/(1.225*A16^2*DATOS!B$5)</f>
        <v>1.0751804039151207</v>
      </c>
      <c r="D16" s="38">
        <f t="shared" si="0"/>
        <v>8.5703565331864379E-2</v>
      </c>
      <c r="E16" s="169">
        <f>0.5*'ENecesario(W1)'!C21*'ENecesario(W1)'!E21</f>
        <v>152067.32159760935</v>
      </c>
      <c r="F16" s="38">
        <f t="shared" si="1"/>
        <v>-6.3282370885644955E-6</v>
      </c>
      <c r="G16" s="38">
        <f t="shared" si="2"/>
        <v>0.75119412729610813</v>
      </c>
      <c r="H16" s="170">
        <f t="shared" si="3"/>
        <v>-0.17083758932575796</v>
      </c>
      <c r="I16" s="170">
        <f t="shared" si="4"/>
        <v>0.32398627661901258</v>
      </c>
      <c r="J16" s="170"/>
    </row>
    <row r="17" spans="1:10">
      <c r="A17" s="5">
        <v>95</v>
      </c>
      <c r="B17" s="38">
        <f>ESTABILIDAD!A17/SQRT(1.41*287.05*EDisponible!$C$7)</f>
        <v>0.278180037543313</v>
      </c>
      <c r="C17" s="38">
        <f>(2*$L$2)/(1.225*A17^2*DATOS!B$5)</f>
        <v>0.96498185836149331</v>
      </c>
      <c r="D17" s="38">
        <f t="shared" si="0"/>
        <v>7.1588504944159359E-2</v>
      </c>
      <c r="E17" s="169">
        <f>0.5*'ENecesario(W1)'!C22*'ENecesario(W1)'!E22</f>
        <v>141566.89907402199</v>
      </c>
      <c r="F17" s="38">
        <f t="shared" si="1"/>
        <v>-3.890029359060996E-6</v>
      </c>
      <c r="G17" s="38">
        <f t="shared" si="2"/>
        <v>0.67420193142365381</v>
      </c>
      <c r="H17" s="170">
        <f t="shared" si="3"/>
        <v>-0.14280745709920792</v>
      </c>
      <c r="I17" s="170">
        <f t="shared" si="4"/>
        <v>0.29077992693783949</v>
      </c>
      <c r="J17" s="170"/>
    </row>
    <row r="18" spans="1:10">
      <c r="A18" s="5">
        <v>100</v>
      </c>
      <c r="B18" s="38">
        <f>ESTABILIDAD!A18/SQRT(1.41*287.05*EDisponible!$C$7)</f>
        <v>0.29282109215085578</v>
      </c>
      <c r="C18" s="38">
        <f>(2*$L$2)/(1.225*A18^2*DATOS!B$5)</f>
        <v>0.87089612717124776</v>
      </c>
      <c r="D18" s="38">
        <f t="shared" si="0"/>
        <v>6.0743999615236209E-2</v>
      </c>
      <c r="E18" s="169">
        <f>0.5*'ENecesario(W1)'!C23*'ENecesario(W1)'!E23</f>
        <v>133138.5441423317</v>
      </c>
      <c r="F18" s="38">
        <f t="shared" si="1"/>
        <v>-2.4516887073595938E-6</v>
      </c>
      <c r="G18" s="38">
        <f t="shared" si="2"/>
        <v>0.60846724310984757</v>
      </c>
      <c r="H18" s="170">
        <f t="shared" si="3"/>
        <v>-0.12124283035973646</v>
      </c>
      <c r="I18" s="170">
        <f t="shared" si="4"/>
        <v>0.26242888406140019</v>
      </c>
      <c r="J18" s="170"/>
    </row>
    <row r="19" spans="1:10">
      <c r="A19" s="5">
        <v>105</v>
      </c>
      <c r="B19" s="38">
        <f>ESTABILIDAD!A19/SQRT(1.41*287.05*EDisponible!$C$7)</f>
        <v>0.30746214675839856</v>
      </c>
      <c r="C19" s="38">
        <f>(2*$L$2)/(1.225*A19^2*DATOS!B$5)</f>
        <v>0.78992846001927219</v>
      </c>
      <c r="D19" s="38">
        <f t="shared" si="0"/>
        <v>5.2301373436108363E-2</v>
      </c>
      <c r="E19" s="169">
        <f>0.5*'ENecesario(W1)'!C24*'ENecesario(W1)'!E24</f>
        <v>126424.06475761873</v>
      </c>
      <c r="F19" s="38">
        <f t="shared" si="1"/>
        <v>-1.5803804005544794E-6</v>
      </c>
      <c r="G19" s="38">
        <f t="shared" si="2"/>
        <v>0.55189772617673238</v>
      </c>
      <c r="H19" s="170">
        <f t="shared" si="3"/>
        <v>-0.1044368069301585</v>
      </c>
      <c r="I19" s="170">
        <f t="shared" si="4"/>
        <v>0.23803073384253981</v>
      </c>
      <c r="J19" s="170"/>
    </row>
    <row r="20" spans="1:10">
      <c r="A20" s="5">
        <v>110</v>
      </c>
      <c r="B20" s="38">
        <f>ESTABILIDAD!A20/SQRT(1.41*287.05*EDisponible!$C$7)</f>
        <v>0.32210320136594134</v>
      </c>
      <c r="C20" s="38">
        <f>(2*$L$2)/(1.225*A20^2*DATOS!B$5)</f>
        <v>0.71974886543078309</v>
      </c>
      <c r="D20" s="38">
        <f t="shared" si="0"/>
        <v>4.5649604490291776E-2</v>
      </c>
      <c r="E20" s="169">
        <f>0.5*'ENecesario(W1)'!C25*'ENecesario(W1)'!E25</f>
        <v>121144.7784520993</v>
      </c>
      <c r="F20" s="38">
        <f t="shared" si="1"/>
        <v>-1.0397553417819193E-6</v>
      </c>
      <c r="G20" s="38">
        <f t="shared" si="2"/>
        <v>0.50286549017342763</v>
      </c>
      <c r="H20" s="170">
        <f t="shared" si="3"/>
        <v>-9.1184835892987537E-2</v>
      </c>
      <c r="I20" s="170">
        <f t="shared" si="4"/>
        <v>0.21688337525735546</v>
      </c>
      <c r="J20" s="170"/>
    </row>
    <row r="21" spans="1:10">
      <c r="A21" s="5">
        <v>115</v>
      </c>
      <c r="B21" s="38">
        <f>ESTABILIDAD!A21/SQRT(1.41*287.05*EDisponible!$C$7)</f>
        <v>0.33674425597348412</v>
      </c>
      <c r="C21" s="38">
        <f>(2*$L$2)/(1.225*A21^2*DATOS!B$5)</f>
        <v>0.65852259143383562</v>
      </c>
      <c r="D21" s="38">
        <f t="shared" si="0"/>
        <v>4.0351570247489796E-2</v>
      </c>
      <c r="E21" s="169">
        <f>0.5*'ENecesario(W1)'!C26*'ENecesario(W1)'!E26</f>
        <v>117081.2366943747</v>
      </c>
      <c r="F21" s="38">
        <f t="shared" si="1"/>
        <v>-6.9692294552562424E-7</v>
      </c>
      <c r="G21" s="38">
        <f t="shared" si="2"/>
        <v>0.46008865263504534</v>
      </c>
      <c r="H21" s="170">
        <f t="shared" si="3"/>
        <v>-8.0622994356244149E-2</v>
      </c>
      <c r="I21" s="170">
        <f t="shared" si="4"/>
        <v>0.19843393879879029</v>
      </c>
      <c r="J21" s="170"/>
    </row>
    <row r="22" spans="1:10">
      <c r="A22" s="5">
        <v>120</v>
      </c>
      <c r="B22" s="38">
        <f>ESTABILIDAD!A22/SQRT(1.41*287.05*EDisponible!$C$7)</f>
        <v>0.3513853105810269</v>
      </c>
      <c r="C22" s="38">
        <f>(2*$L$2)/(1.225*A22^2*DATOS!B$5)</f>
        <v>0.60478897720225533</v>
      </c>
      <c r="D22" s="38">
        <f t="shared" si="0"/>
        <v>3.60897150073477E-2</v>
      </c>
      <c r="E22" s="169">
        <f>0.5*'ENecesario(W1)'!C27*'ENecesario(W1)'!E27</f>
        <v>114058.73474065565</v>
      </c>
      <c r="F22" s="38">
        <f t="shared" si="1"/>
        <v>-4.7515369649587609E-7</v>
      </c>
      <c r="G22" s="38">
        <f t="shared" si="2"/>
        <v>0.4225466966040608</v>
      </c>
      <c r="H22" s="170">
        <f t="shared" si="3"/>
        <v>-7.2122411571115902E-2</v>
      </c>
      <c r="I22" s="170">
        <f t="shared" si="4"/>
        <v>0.18224228059819453</v>
      </c>
      <c r="J22" s="170"/>
    </row>
    <row r="23" spans="1:10">
      <c r="A23" s="5">
        <v>125</v>
      </c>
      <c r="B23" s="38">
        <f>ESTABILIDAD!A23/SQRT(1.41*287.05*EDisponible!$C$7)</f>
        <v>0.36602636518856974</v>
      </c>
      <c r="C23" s="38">
        <f>(2*$L$2)/(1.225*A23^2*DATOS!B$5)</f>
        <v>0.5573735213895985</v>
      </c>
      <c r="D23" s="38">
        <f t="shared" si="0"/>
        <v>3.2630090578400744E-2</v>
      </c>
      <c r="E23" s="169">
        <f>0.5*'ENecesario(W1)'!C28*'ENecesario(W1)'!E28</f>
        <v>111936.7944230241</v>
      </c>
      <c r="F23" s="38">
        <f t="shared" si="1"/>
        <v>-3.2906008806506146E-7</v>
      </c>
      <c r="G23" s="38">
        <f t="shared" si="2"/>
        <v>0.38941903559030239</v>
      </c>
      <c r="H23" s="170">
        <f t="shared" si="3"/>
        <v>-6.5219048645793351E-2</v>
      </c>
      <c r="I23" s="170">
        <f t="shared" si="4"/>
        <v>0.16795448579929612</v>
      </c>
      <c r="J23" s="170"/>
    </row>
    <row r="24" spans="1:10">
      <c r="A24" s="5">
        <v>130</v>
      </c>
      <c r="B24" s="38">
        <f>ESTABILIDAD!A24/SQRT(1.41*287.05*EDisponible!$C$7)</f>
        <v>0.38066741979611252</v>
      </c>
      <c r="C24" s="38">
        <f>(2*$L$2)/(1.225*A24^2*DATOS!B$5)</f>
        <v>0.51532315217233593</v>
      </c>
      <c r="D24" s="38">
        <f t="shared" si="0"/>
        <v>2.9798118838358673E-2</v>
      </c>
      <c r="E24" s="169">
        <f>0.5*'ENecesario(W1)'!C29*'ENecesario(W1)'!E29</f>
        <v>110601.42201633946</v>
      </c>
      <c r="F24" s="38">
        <f t="shared" si="1"/>
        <v>-2.3119325308291411E-7</v>
      </c>
      <c r="G24" s="38">
        <f t="shared" si="2"/>
        <v>0.36003978882239496</v>
      </c>
      <c r="H24" s="170">
        <f t="shared" si="3"/>
        <v>-5.9566182553816564E-2</v>
      </c>
      <c r="I24" s="170">
        <f t="shared" si="4"/>
        <v>0.15528336334994097</v>
      </c>
      <c r="J24" s="170"/>
    </row>
    <row r="25" spans="1:10">
      <c r="A25" s="5">
        <v>135</v>
      </c>
      <c r="B25" s="38">
        <f>ESTABILIDAD!A25/SQRT(1.41*287.05*EDisponible!$C$7)</f>
        <v>0.3953084744036553</v>
      </c>
      <c r="C25" s="38">
        <f>(2*$L$2)/(1.225*A25^2*DATOS!B$5)</f>
        <v>0.4778579572956092</v>
      </c>
      <c r="D25" s="38">
        <f t="shared" si="0"/>
        <v>2.7461980189010245E-2</v>
      </c>
      <c r="E25" s="169">
        <f>0.5*'ENecesario(W1)'!C30*'ENecesario(W1)'!E30</f>
        <v>109959.33483086192</v>
      </c>
      <c r="F25" s="38">
        <f t="shared" si="1"/>
        <v>-1.6461196917873402E-7</v>
      </c>
      <c r="G25" s="38">
        <f t="shared" si="2"/>
        <v>0.33386405657604806</v>
      </c>
      <c r="H25" s="170">
        <f t="shared" si="3"/>
        <v>-5.4901737762181359E-2</v>
      </c>
      <c r="I25" s="170">
        <f t="shared" si="4"/>
        <v>0.14399390071956114</v>
      </c>
      <c r="J25" s="170"/>
    </row>
    <row r="26" spans="1:10">
      <c r="A26" s="5">
        <v>140</v>
      </c>
      <c r="B26" s="38">
        <f>ESTABILIDAD!A26/SQRT(1.41*287.05*EDisponible!$C$7)</f>
        <v>0.40994952901119808</v>
      </c>
      <c r="C26" s="38">
        <f>(2*$L$2)/(1.225*A26^2*DATOS!B$5)</f>
        <v>0.44433475876084066</v>
      </c>
      <c r="D26" s="38">
        <f t="shared" si="0"/>
        <v>2.5521052727831166E-2</v>
      </c>
      <c r="E26" s="169">
        <f>0.5*'ENecesario(W1)'!C31*'ENecesario(W1)'!E31</f>
        <v>109933.60450277223</v>
      </c>
      <c r="F26" s="38">
        <f t="shared" si="1"/>
        <v>-1.1866236657758267E-7</v>
      </c>
      <c r="G26" s="38">
        <f t="shared" si="2"/>
        <v>0.31044247097441197</v>
      </c>
      <c r="H26" s="170">
        <f t="shared" si="3"/>
        <v>-5.1025492724341467E-2</v>
      </c>
      <c r="I26" s="170">
        <f t="shared" si="4"/>
        <v>0.1338922877864287</v>
      </c>
      <c r="J26" s="170"/>
    </row>
    <row r="27" spans="1:10">
      <c r="A27" s="5">
        <v>145</v>
      </c>
      <c r="B27" s="38">
        <f>ESTABILIDAD!A27/SQRT(1.41*287.05*EDisponible!$C$7)</f>
        <v>0.42459058361874086</v>
      </c>
      <c r="C27" s="38">
        <f>(2*$L$2)/(1.225*A27^2*DATOS!B$5)</f>
        <v>0.41421932326813199</v>
      </c>
      <c r="D27" s="38">
        <f t="shared" si="0"/>
        <v>2.3897752038055296E-2</v>
      </c>
      <c r="E27" s="169">
        <f>0.5*'ENecesario(W1)'!C32*'ENecesario(W1)'!E32</f>
        <v>110460.33317836613</v>
      </c>
      <c r="F27" s="38">
        <f t="shared" si="1"/>
        <v>-8.6527330755208657E-8</v>
      </c>
      <c r="G27" s="38">
        <f t="shared" si="2"/>
        <v>0.2894017803138394</v>
      </c>
      <c r="H27" s="170">
        <f t="shared" si="3"/>
        <v>-4.7782957613151086E-2</v>
      </c>
      <c r="I27" s="170">
        <f t="shared" si="4"/>
        <v>0.12481754295429259</v>
      </c>
      <c r="J27" s="170"/>
    </row>
    <row r="28" spans="1:10">
      <c r="A28" s="5">
        <v>150</v>
      </c>
      <c r="B28" s="38">
        <f>ESTABILIDAD!A28/SQRT(1.41*287.05*EDisponible!$C$7)</f>
        <v>0.43923163822628364</v>
      </c>
      <c r="C28" s="38">
        <f>(2*$L$2)/(1.225*A28^2*DATOS!B$5)</f>
        <v>0.38706494540944336</v>
      </c>
      <c r="D28" s="38">
        <f t="shared" si="0"/>
        <v>2.2531695603009619E-2</v>
      </c>
      <c r="E28" s="169">
        <f>0.5*'ENecesario(W1)'!C33*'ENecesario(W1)'!E33</f>
        <v>111486.09192160146</v>
      </c>
      <c r="F28" s="38">
        <f t="shared" si="1"/>
        <v>-6.3774049594478022E-8</v>
      </c>
      <c r="G28" s="38">
        <f t="shared" si="2"/>
        <v>0.27042988582659888</v>
      </c>
      <c r="H28" s="170">
        <f t="shared" si="3"/>
        <v>-4.5053825098580066E-2</v>
      </c>
      <c r="I28" s="170">
        <f t="shared" si="4"/>
        <v>0.11663505958284448</v>
      </c>
      <c r="J28" s="170"/>
    </row>
    <row r="29" spans="1:10">
      <c r="A29" s="5">
        <v>155</v>
      </c>
      <c r="B29" s="38">
        <f>ESTABILIDAD!A29/SQRT(1.41*287.05*EDisponible!$C$7)</f>
        <v>0.45387269283382642</v>
      </c>
      <c r="C29" s="38">
        <f>(2*$L$2)/(1.225*A29^2*DATOS!B$5)</f>
        <v>0.36249578654370346</v>
      </c>
      <c r="D29" s="38">
        <f t="shared" si="0"/>
        <v>2.1375478782645754E-2</v>
      </c>
      <c r="E29" s="169">
        <f>0.5*'ENecesario(W1)'!C34*'ENecesario(W1)'!E34</f>
        <v>112965.92793281535</v>
      </c>
      <c r="F29" s="38">
        <f t="shared" si="1"/>
        <v>-4.7476647379451595E-8</v>
      </c>
      <c r="G29" s="38">
        <f t="shared" si="2"/>
        <v>0.25326420108630487</v>
      </c>
      <c r="H29" s="170">
        <f t="shared" si="3"/>
        <v>-4.274359868494769E-2</v>
      </c>
      <c r="I29" s="170">
        <f t="shared" si="4"/>
        <v>0.10923158545739858</v>
      </c>
      <c r="J29" s="170"/>
    </row>
    <row r="30" spans="1:10">
      <c r="A30" s="5">
        <v>160</v>
      </c>
      <c r="B30" s="38">
        <f>ESTABILIDAD!A30/SQRT(1.41*287.05*EDisponible!$C$7)</f>
        <v>0.46851374744136925</v>
      </c>
      <c r="C30" s="38">
        <f>(2*$L$2)/(1.225*A30^2*DATOS!B$5)</f>
        <v>0.34019379967626862</v>
      </c>
      <c r="D30" s="38">
        <f t="shared" si="0"/>
        <v>2.0391582678106108E-2</v>
      </c>
      <c r="E30" s="169">
        <f>0.5*'ENecesario(W1)'!C35*'ENecesario(W1)'!E35</f>
        <v>114861.80067739735</v>
      </c>
      <c r="F30" s="38">
        <f t="shared" si="1"/>
        <v>-3.5676766235841098E-8</v>
      </c>
      <c r="G30" s="38">
        <f t="shared" si="2"/>
        <v>0.23768251683978417</v>
      </c>
      <c r="H30" s="170">
        <f t="shared" si="3"/>
        <v>-4.0777457073614479E-2</v>
      </c>
      <c r="I30" s="170">
        <f t="shared" si="4"/>
        <v>0.10251128283648445</v>
      </c>
      <c r="J30" s="170"/>
    </row>
    <row r="31" spans="1:10">
      <c r="A31" s="5">
        <v>165</v>
      </c>
      <c r="B31" s="38">
        <f>ESTABILIDAD!A31/SQRT(1.41*287.05*EDisponible!$C$7)</f>
        <v>0.48315480204891204</v>
      </c>
      <c r="C31" s="38">
        <f>(2*$L$2)/(1.225*A31^2*DATOS!B$5)</f>
        <v>0.31988838463590369</v>
      </c>
      <c r="D31" s="38">
        <f t="shared" si="0"/>
        <v>1.9550086689440353E-2</v>
      </c>
      <c r="E31" s="169">
        <f>0.5*'ENecesario(W1)'!C36*'ENecesario(W1)'!E36</f>
        <v>117141.34457619464</v>
      </c>
      <c r="F31" s="38">
        <f t="shared" si="1"/>
        <v>-2.7046422546986886E-8</v>
      </c>
      <c r="G31" s="38">
        <f t="shared" si="2"/>
        <v>0.22349577341041232</v>
      </c>
      <c r="H31" s="170">
        <f t="shared" si="3"/>
        <v>-3.9095710719160452E-2</v>
      </c>
      <c r="I31" s="170">
        <f t="shared" si="4"/>
        <v>9.6392611225491365E-2</v>
      </c>
      <c r="J31" s="170"/>
    </row>
    <row r="32" spans="1:10">
      <c r="A32" s="5">
        <v>170</v>
      </c>
      <c r="B32" s="38">
        <f>ESTABILIDAD!A32/SQRT(1.41*287.05*EDisponible!$C$7)</f>
        <v>0.49779585665645482</v>
      </c>
      <c r="C32" s="38">
        <f>(2*$L$2)/(1.225*A32^2*DATOS!B$5)</f>
        <v>0.30134814088970507</v>
      </c>
      <c r="D32" s="38">
        <f t="shared" si="0"/>
        <v>1.8826959669333006E-2</v>
      </c>
      <c r="E32" s="169">
        <f>0.5*'ENecesario(W1)'!C37*'ENecesario(W1)'!E37</f>
        <v>119776.88258735796</v>
      </c>
      <c r="F32" s="38">
        <f t="shared" si="1"/>
        <v>-2.0674024864772876E-8</v>
      </c>
      <c r="G32" s="38">
        <f t="shared" si="2"/>
        <v>0.21054229865392649</v>
      </c>
      <c r="H32" s="170">
        <f t="shared" si="3"/>
        <v>-3.7650404754439003E-2</v>
      </c>
      <c r="I32" s="170">
        <f t="shared" si="4"/>
        <v>9.0805842235778589E-2</v>
      </c>
      <c r="J32" s="170"/>
    </row>
    <row r="33" spans="1:10">
      <c r="A33" s="5">
        <v>175</v>
      </c>
      <c r="B33" s="38">
        <f>ESTABILIDAD!A33/SQRT(1.41*287.05*EDisponible!$C$7)</f>
        <v>0.5124369112639976</v>
      </c>
      <c r="C33" s="38">
        <f>(2*$L$2)/(1.225*A33^2*DATOS!B$5)</f>
        <v>0.28437424560693803</v>
      </c>
      <c r="D33" s="38">
        <f t="shared" si="0"/>
        <v>1.8202771533319645E-2</v>
      </c>
      <c r="E33" s="169">
        <f>0.5*'ENecesario(W1)'!C38*'ENecesario(W1)'!E38</f>
        <v>122744.63417876062</v>
      </c>
      <c r="F33" s="38">
        <f t="shared" si="1"/>
        <v>-1.592659324114628E-8</v>
      </c>
      <c r="G33" s="38">
        <f t="shared" si="2"/>
        <v>0.19868318142362371</v>
      </c>
      <c r="H33" s="170">
        <f t="shared" si="3"/>
        <v>-3.6402755912822091E-2</v>
      </c>
      <c r="I33" s="170">
        <f t="shared" si="4"/>
        <v>8.5691064183314319E-2</v>
      </c>
      <c r="J33" s="170"/>
    </row>
    <row r="34" spans="1:10">
      <c r="A34" s="5">
        <v>180</v>
      </c>
      <c r="B34" s="38">
        <f>ESTABILIDAD!A34/SQRT(1.41*287.05*EDisponible!$C$7)</f>
        <v>0.52707796587154043</v>
      </c>
      <c r="C34" s="38">
        <f>(2*$L$2)/(1.225*A34^2*DATOS!B$5)</f>
        <v>0.26879510097878018</v>
      </c>
      <c r="D34" s="38">
        <f t="shared" si="0"/>
        <v>1.7661713458241524E-2</v>
      </c>
      <c r="E34" s="169">
        <f>0.5*'ENecesario(W1)'!C39*'ENecesario(W1)'!E39</f>
        <v>126024.07511186079</v>
      </c>
      <c r="F34" s="38">
        <f t="shared" si="1"/>
        <v>-1.235983806360253E-8</v>
      </c>
      <c r="G34" s="38">
        <f t="shared" si="2"/>
        <v>0.18779853182402703</v>
      </c>
      <c r="H34" s="170">
        <f t="shared" si="3"/>
        <v>-3.53212021456316E-2</v>
      </c>
      <c r="I34" s="170">
        <f t="shared" si="4"/>
        <v>8.0996569154753145E-2</v>
      </c>
      <c r="J34" s="170"/>
    </row>
    <row r="35" spans="1:10">
      <c r="A35" s="5">
        <v>185</v>
      </c>
      <c r="B35" s="38">
        <f>ESTABILIDAD!A35/SQRT(1.41*287.05*EDisponible!$C$7)</f>
        <v>0.54171902047908316</v>
      </c>
      <c r="C35" s="38">
        <f>(2*$L$2)/(1.225*A35^2*DATOS!B$5)</f>
        <v>0.25446198018151872</v>
      </c>
      <c r="D35" s="38">
        <f t="shared" si="0"/>
        <v>1.7190846687359193E-2</v>
      </c>
      <c r="E35" s="169">
        <f>0.5*'ENecesario(W1)'!C40*'ENecesario(W1)'!E40</f>
        <v>129597.41666995866</v>
      </c>
      <c r="F35" s="38">
        <f t="shared" si="1"/>
        <v>-9.6587243303098784E-9</v>
      </c>
      <c r="G35" s="38">
        <f t="shared" si="2"/>
        <v>0.17778443918476192</v>
      </c>
      <c r="H35" s="170">
        <f t="shared" si="3"/>
        <v>-3.4379906510717276E-2</v>
      </c>
      <c r="I35" s="170">
        <f t="shared" si="4"/>
        <v>7.6677540996756804E-2</v>
      </c>
      <c r="J35" s="170"/>
    </row>
    <row r="36" spans="1:10">
      <c r="A36" s="5">
        <v>190</v>
      </c>
      <c r="B36" s="38">
        <f>ESTABILIDAD!A36/SQRT(1.41*287.05*EDisponible!$C$7)</f>
        <v>0.55636007508662599</v>
      </c>
      <c r="C36" s="38">
        <f>(2*$L$2)/(1.225*A36^2*DATOS!B$5)</f>
        <v>0.24124546459037333</v>
      </c>
      <c r="D36" s="38">
        <f t="shared" si="0"/>
        <v>1.6779522184009958E-2</v>
      </c>
      <c r="E36" s="169">
        <f>0.5*'ENecesario(W1)'!C41*'ENecesario(W1)'!E41</f>
        <v>133449.17952528791</v>
      </c>
      <c r="F36" s="38">
        <f t="shared" si="1"/>
        <v>-7.5977135919160078E-9</v>
      </c>
      <c r="G36" s="38">
        <f t="shared" si="2"/>
        <v>0.16855048285591345</v>
      </c>
      <c r="H36" s="170">
        <f t="shared" si="3"/>
        <v>-3.355760080243745E-2</v>
      </c>
      <c r="I36" s="170">
        <f t="shared" si="4"/>
        <v>7.2694981734459874E-2</v>
      </c>
      <c r="J36" s="170"/>
    </row>
    <row r="37" spans="1:10">
      <c r="A37" s="5">
        <v>195</v>
      </c>
      <c r="B37" s="38">
        <f>ESTABILIDAD!A37/SQRT(1.41*287.05*EDisponible!$C$7)</f>
        <v>0.57100112969416872</v>
      </c>
      <c r="C37" s="38">
        <f>(2*$L$2)/(1.225*A37^2*DATOS!B$5)</f>
        <v>0.22903251207659375</v>
      </c>
      <c r="D37" s="38">
        <f t="shared" si="0"/>
        <v>1.6418929029799245E-2</v>
      </c>
      <c r="E37" s="169">
        <f>0.5*'ENecesario(W1)'!C42*'ENecesario(W1)'!E42</f>
        <v>137565.84308786158</v>
      </c>
      <c r="F37" s="38">
        <f t="shared" si="1"/>
        <v>-6.0138670720140239E-9</v>
      </c>
      <c r="G37" s="38">
        <f t="shared" si="2"/>
        <v>0.16001768392106444</v>
      </c>
      <c r="H37" s="170">
        <f t="shared" si="3"/>
        <v>-3.2836685355519445E-2</v>
      </c>
      <c r="I37" s="170">
        <f t="shared" si="4"/>
        <v>6.9014828155529312E-2</v>
      </c>
      <c r="J37" s="170"/>
    </row>
    <row r="38" spans="1:10">
      <c r="A38" s="5">
        <v>200</v>
      </c>
      <c r="B38" s="38">
        <f>ESTABILIDAD!A38/SQRT(1.41*287.05*EDisponible!$C$7)</f>
        <v>0.58564218430171155</v>
      </c>
      <c r="C38" s="38">
        <f>(2*$L$2)/(1.225*A38^2*DATOS!B$5)</f>
        <v>0.21772403179281194</v>
      </c>
      <c r="D38" s="38">
        <f t="shared" si="0"/>
        <v>1.6101740600952263E-2</v>
      </c>
      <c r="E38" s="169">
        <f>0.5*'ENecesario(W1)'!C43*'ENecesario(W1)'!E43</f>
        <v>141935.55543367981</v>
      </c>
      <c r="F38" s="38">
        <f t="shared" si="1"/>
        <v>-4.7884545065617067E-9</v>
      </c>
      <c r="G38" s="38">
        <f t="shared" si="2"/>
        <v>0.15211681077746189</v>
      </c>
      <c r="H38" s="170">
        <f t="shared" si="3"/>
        <v>-3.2202523511003216E-2</v>
      </c>
      <c r="I38" s="170">
        <f t="shared" si="4"/>
        <v>6.5607221015350048E-2</v>
      </c>
      <c r="J38" s="170"/>
    </row>
    <row r="39" spans="1:10">
      <c r="A39" s="5">
        <v>205</v>
      </c>
      <c r="B39" s="38">
        <f>ESTABILIDAD!A39/SQRT(1.41*287.05*EDisponible!$C$7)</f>
        <v>0.60028323890925428</v>
      </c>
      <c r="C39" s="38">
        <f>(2*$L$2)/(1.225*A39^2*DATOS!B$5)</f>
        <v>0.20723286785752471</v>
      </c>
      <c r="D39" s="38">
        <f t="shared" si="0"/>
        <v>1.582183555595388E-2</v>
      </c>
      <c r="E39" s="169">
        <f>0.5*'ENecesario(W1)'!C44*'ENecesario(W1)'!E44</f>
        <v>146547.89213999169</v>
      </c>
      <c r="F39" s="38">
        <f t="shared" si="1"/>
        <v>-3.834251332443915E-9</v>
      </c>
      <c r="G39" s="38">
        <f t="shared" si="2"/>
        <v>0.14478697040091551</v>
      </c>
      <c r="H39" s="170">
        <f t="shared" si="3"/>
        <v>-3.1642885090384605E-2</v>
      </c>
      <c r="I39" s="170">
        <f t="shared" si="4"/>
        <v>6.2445897456609195E-2</v>
      </c>
      <c r="J39" s="170"/>
    </row>
    <row r="40" spans="1:10">
      <c r="A40" s="5">
        <v>210</v>
      </c>
      <c r="B40" s="38">
        <f>ESTABILIDAD!A40/SQRT(1.41*287.05*EDisponible!$C$7)</f>
        <v>0.61492429351679712</v>
      </c>
      <c r="C40" s="38">
        <f>(2*$L$2)/(1.225*A40^2*DATOS!B$5)</f>
        <v>0.19748211500481805</v>
      </c>
      <c r="D40" s="38">
        <f t="shared" si="0"/>
        <v>1.5574076464756772E-2</v>
      </c>
      <c r="E40" s="169">
        <f>0.5*'ENecesario(W1)'!C45*'ENecesario(W1)'!E45</f>
        <v>151393.6548258065</v>
      </c>
      <c r="F40" s="38">
        <f t="shared" si="1"/>
        <v>-3.0866804698329676E-9</v>
      </c>
      <c r="G40" s="38">
        <f t="shared" si="2"/>
        <v>0.1379744315441831</v>
      </c>
      <c r="H40" s="170">
        <f t="shared" si="3"/>
        <v>-3.1147504726614879E-2</v>
      </c>
      <c r="I40" s="170">
        <f t="shared" si="4"/>
        <v>5.9507683460634953E-2</v>
      </c>
      <c r="J40" s="170"/>
    </row>
    <row r="41" spans="1:10">
      <c r="A41" s="5">
        <v>215</v>
      </c>
      <c r="B41" s="38">
        <f>ESTABILIDAD!A41/SQRT(1.41*287.05*EDisponible!$C$7)</f>
        <v>0.62956534812433995</v>
      </c>
      <c r="C41" s="38">
        <f>(2*$L$2)/(1.225*A41^2*DATOS!B$5)</f>
        <v>0.18840370517495891</v>
      </c>
      <c r="D41" s="38">
        <f t="shared" si="0"/>
        <v>1.535413314668733E-2</v>
      </c>
      <c r="E41" s="169">
        <f>0.5*'ENecesario(W1)'!C46*'ENecesario(W1)'!E46</f>
        <v>156464.70209873319</v>
      </c>
      <c r="F41" s="38">
        <f t="shared" si="1"/>
        <v>-2.4975787314713867E-9</v>
      </c>
      <c r="G41" s="38">
        <f t="shared" si="2"/>
        <v>0.13163163723306598</v>
      </c>
      <c r="H41" s="170">
        <f t="shared" si="3"/>
        <v>-3.0707729313947392E-2</v>
      </c>
      <c r="I41" s="170">
        <f t="shared" si="4"/>
        <v>5.6772067941892934E-2</v>
      </c>
      <c r="J41" s="170"/>
    </row>
    <row r="42" spans="1:10">
      <c r="A42" s="5">
        <v>220</v>
      </c>
      <c r="B42" s="38">
        <f>ESTABILIDAD!A42/SQRT(1.41*287.05*EDisponible!$C$7)</f>
        <v>0.64420640273188268</v>
      </c>
      <c r="C42" s="38">
        <f>(2*$L$2)/(1.225*A42^2*DATOS!B$5)</f>
        <v>0.17993721635769577</v>
      </c>
      <c r="D42" s="38">
        <f t="shared" si="0"/>
        <v>1.5158340905643235E-2</v>
      </c>
      <c r="E42" s="169">
        <f>0.5*'ENecesario(W1)'!C47*'ENecesario(W1)'!E47</f>
        <v>161753.80708472204</v>
      </c>
      <c r="F42" s="38">
        <f t="shared" si="1"/>
        <v>-2.0307721519178111E-9</v>
      </c>
      <c r="G42" s="38">
        <f t="shared" si="2"/>
        <v>0.12571637254335691</v>
      </c>
      <c r="H42" s="170">
        <f t="shared" si="3"/>
        <v>-3.0316235041413047E-2</v>
      </c>
      <c r="I42" s="170">
        <f t="shared" si="4"/>
        <v>5.4220843814338865E-2</v>
      </c>
      <c r="J42" s="170"/>
    </row>
    <row r="43" spans="1:10">
      <c r="A43" s="5">
        <v>225</v>
      </c>
      <c r="B43" s="38">
        <f>ESTABILIDAD!A43/SQRT(1.41*287.05*EDisponible!$C$7)</f>
        <v>0.65884745733942551</v>
      </c>
      <c r="C43" s="38">
        <f>(2*$L$2)/(1.225*A43^2*DATOS!B$5)</f>
        <v>0.17202886462641928</v>
      </c>
      <c r="D43" s="38">
        <f t="shared" si="0"/>
        <v>1.4983586168495726E-2</v>
      </c>
      <c r="E43" s="169">
        <f>0.5*'ENecesario(W1)'!C48*'ENecesario(W1)'!E48</f>
        <v>167254.53686865003</v>
      </c>
      <c r="F43" s="38">
        <f t="shared" si="1"/>
        <v>-1.6589093833446506E-9</v>
      </c>
      <c r="G43" s="38">
        <f t="shared" si="2"/>
        <v>0.12019106036737728</v>
      </c>
      <c r="H43" s="170">
        <f t="shared" si="3"/>
        <v>-2.9966799082380199E-2</v>
      </c>
      <c r="I43" s="170">
        <f t="shared" si="4"/>
        <v>5.1837804259041997E-2</v>
      </c>
      <c r="J43" s="170"/>
    </row>
    <row r="44" spans="1:10">
      <c r="A44" s="5">
        <v>230</v>
      </c>
      <c r="B44" s="38">
        <f>ESTABILIDAD!A44/SQRT(1.41*287.05*EDisponible!$C$7)</f>
        <v>0.67348851194696824</v>
      </c>
      <c r="C44" s="38">
        <f>(2*$L$2)/(1.225*A44^2*DATOS!B$5)</f>
        <v>0.16463064785845891</v>
      </c>
      <c r="D44" s="38">
        <f t="shared" si="0"/>
        <v>1.4827213765468111E-2</v>
      </c>
      <c r="E44" s="169">
        <f>0.5*'ENecesario(W1)'!C49*'ENecesario(W1)'!E49</f>
        <v>172961.15007757678</v>
      </c>
      <c r="F44" s="38">
        <f t="shared" si="1"/>
        <v>-1.3611776279797348E-9</v>
      </c>
      <c r="G44" s="38">
        <f t="shared" si="2"/>
        <v>0.11502216315876133</v>
      </c>
      <c r="H44" s="170">
        <f t="shared" si="3"/>
        <v>-2.9654114460081787E-2</v>
      </c>
      <c r="I44" s="170">
        <f t="shared" si="4"/>
        <v>4.9608484699697572E-2</v>
      </c>
      <c r="J44" s="170"/>
    </row>
    <row r="45" spans="1:10">
      <c r="A45" s="5">
        <v>235</v>
      </c>
      <c r="B45" s="38">
        <f>ESTABILIDAD!A45/SQRT(1.41*287.05*EDisponible!$C$7)</f>
        <v>0.68812956655451107</v>
      </c>
      <c r="C45" s="38">
        <f>(2*$L$2)/(1.225*A45^2*DATOS!B$5)</f>
        <v>0.15769961560366641</v>
      </c>
      <c r="D45" s="38">
        <f t="shared" si="0"/>
        <v>1.4686951396049822E-2</v>
      </c>
      <c r="E45" s="169">
        <f>0.5*'ENecesario(W1)'!C50*'ENecesario(W1)'!E50</f>
        <v>178868.5095521739</v>
      </c>
      <c r="F45" s="38">
        <f t="shared" si="1"/>
        <v>-1.1216427828007538E-9</v>
      </c>
      <c r="G45" s="38">
        <f t="shared" si="2"/>
        <v>0.11017967281300997</v>
      </c>
      <c r="H45" s="170">
        <f t="shared" si="3"/>
        <v>-2.9373639206045684E-2</v>
      </c>
      <c r="I45" s="170">
        <f t="shared" si="4"/>
        <v>4.7519942790656439E-2</v>
      </c>
      <c r="J45" s="170"/>
    </row>
    <row r="46" spans="1:10">
      <c r="A46" s="5">
        <v>240</v>
      </c>
      <c r="B46" s="38">
        <f>ESTABILIDAD!A46/SQRT(1.41*287.05*EDisponible!$C$7)</f>
        <v>0.7027706211620538</v>
      </c>
      <c r="C46" s="38">
        <f>(2*$L$2)/(1.225*A46^2*DATOS!B$5)</f>
        <v>0.15119724430056383</v>
      </c>
      <c r="D46" s="38">
        <f t="shared" si="0"/>
        <v>1.4560847812959231E-2</v>
      </c>
      <c r="E46" s="169">
        <f>0.5*'ENecesario(W1)'!C51*'ENecesario(W1)'!E51</f>
        <v>184972.00761842341</v>
      </c>
      <c r="F46" s="38">
        <f t="shared" si="1"/>
        <v>-9.2803456346850799E-10</v>
      </c>
      <c r="G46" s="38">
        <f t="shared" si="2"/>
        <v>0.1056366741510152</v>
      </c>
      <c r="H46" s="170">
        <f t="shared" si="3"/>
        <v>-2.9121472897623232E-2</v>
      </c>
      <c r="I46" s="170">
        <f t="shared" si="4"/>
        <v>4.5560570149548632E-2</v>
      </c>
      <c r="J46" s="170"/>
    </row>
    <row r="47" spans="1:10">
      <c r="A47" s="5">
        <v>245</v>
      </c>
      <c r="B47" s="38">
        <f>ESTABILIDAD!A47/SQRT(1.41*287.05*EDisponible!$C$7)</f>
        <v>0.71741167576959664</v>
      </c>
      <c r="C47" s="38">
        <f>(2*$L$2)/(1.225*A47^2*DATOS!B$5)</f>
        <v>0.14508890081986633</v>
      </c>
      <c r="D47" s="38">
        <f t="shared" si="0"/>
        <v>1.4447222010964088E-2</v>
      </c>
      <c r="E47" s="169">
        <f>0.5*'ENecesario(W1)'!C52*'ENecesario(W1)'!E52</f>
        <v>191267.50192385723</v>
      </c>
      <c r="F47" s="38">
        <f t="shared" si="1"/>
        <v>-7.7085122586721497E-10</v>
      </c>
      <c r="G47" s="38">
        <f t="shared" si="2"/>
        <v>0.10136897011409371</v>
      </c>
      <c r="H47" s="170">
        <f t="shared" si="3"/>
        <v>-2.889425516337784E-2</v>
      </c>
      <c r="I47" s="170">
        <f t="shared" si="4"/>
        <v>4.3719930705772625E-2</v>
      </c>
      <c r="J47" s="170"/>
    </row>
    <row r="48" spans="1:10">
      <c r="A48" s="5">
        <v>250</v>
      </c>
      <c r="B48" s="38">
        <f>ESTABILIDAD!A48/SQRT(1.41*287.05*EDisponible!$C$7)</f>
        <v>0.73205273037713947</v>
      </c>
      <c r="C48" s="38">
        <f>(2*$L$2)/(1.225*A48^2*DATOS!B$5)</f>
        <v>0.13934338034739963</v>
      </c>
      <c r="D48" s="38">
        <f t="shared" si="0"/>
        <v>1.4344621286150046E-2</v>
      </c>
      <c r="E48" s="169">
        <f>0.5*'ENecesario(W1)'!C53*'ENecesario(W1)'!E53</f>
        <v>197751.26016528238</v>
      </c>
      <c r="F48" s="38">
        <f t="shared" si="1"/>
        <v>-6.4269548450207316E-10</v>
      </c>
      <c r="G48" s="38">
        <f t="shared" si="2"/>
        <v>9.7354758897575597E-2</v>
      </c>
      <c r="H48" s="170">
        <f t="shared" si="3"/>
        <v>-2.8689081898428968E-2</v>
      </c>
      <c r="I48" s="170">
        <f t="shared" si="4"/>
        <v>4.1988621449824029E-2</v>
      </c>
      <c r="J48" s="170"/>
    </row>
    <row r="49" spans="1:10">
      <c r="A49" s="5">
        <v>255</v>
      </c>
      <c r="B49" s="38">
        <f>ESTABILIDAD!A49/SQRT(1.41*287.05*EDisponible!$C$7)</f>
        <v>0.7466937849846822</v>
      </c>
      <c r="C49" s="38">
        <f>(2*$L$2)/(1.225*A49^2*DATOS!B$5)</f>
        <v>0.13393250706209114</v>
      </c>
      <c r="D49" s="38">
        <f t="shared" si="0"/>
        <v>1.4251786477892939E-2</v>
      </c>
      <c r="E49" s="169">
        <f>0.5*'ENecesario(W1)'!C54*'ENecesario(W1)'!E54</f>
        <v>204419.91232721461</v>
      </c>
      <c r="F49" s="38">
        <f t="shared" si="1"/>
        <v>-5.3777883100968926E-10</v>
      </c>
      <c r="G49" s="38">
        <f t="shared" si="2"/>
        <v>9.357435495730064E-2</v>
      </c>
      <c r="H49" s="170">
        <f t="shared" si="3"/>
        <v>-2.8503435822183971E-2</v>
      </c>
      <c r="I49" s="170">
        <f t="shared" si="4"/>
        <v>4.0358152104790504E-2</v>
      </c>
      <c r="J49" s="170"/>
    </row>
    <row r="50" spans="1:10">
      <c r="A50" s="5">
        <v>260</v>
      </c>
      <c r="B50" s="38">
        <f>ESTABILIDAD!A50/SQRT(1.41*287.05*EDisponible!$C$7)</f>
        <v>0.76133483959222503</v>
      </c>
      <c r="C50" s="38">
        <f>(2*$L$2)/(1.225*A50^2*DATOS!B$5)</f>
        <v>0.12883078804308398</v>
      </c>
      <c r="D50" s="38">
        <f t="shared" si="0"/>
        <v>1.4167623052397417E-2</v>
      </c>
      <c r="E50" s="169">
        <f>0.5*'ENecesario(W1)'!C55*'ENecesario(W1)'!E55</f>
        <v>211270.40928686858</v>
      </c>
      <c r="F50" s="38">
        <f t="shared" si="1"/>
        <v>-4.5154932242756662E-10</v>
      </c>
      <c r="G50" s="38">
        <f t="shared" si="2"/>
        <v>9.0009947205598739E-2</v>
      </c>
      <c r="H50" s="170">
        <f t="shared" si="3"/>
        <v>-2.8335128701971003E-2</v>
      </c>
      <c r="I50" s="170">
        <f t="shared" si="4"/>
        <v>3.8820840837485243E-2</v>
      </c>
      <c r="J50" s="170"/>
    </row>
    <row r="51" spans="1:10">
      <c r="A51" s="5">
        <v>265</v>
      </c>
      <c r="B51" s="38">
        <f>ESTABILIDAD!A51/SQRT(1.41*287.05*EDisponible!$C$7)</f>
        <v>0.77597589419976776</v>
      </c>
      <c r="C51" s="38">
        <f>(2*$L$2)/(1.225*A51^2*DATOS!B$5)</f>
        <v>0.12401511244873588</v>
      </c>
      <c r="D51" s="38">
        <f t="shared" si="0"/>
        <v>1.4091176957048345E-2</v>
      </c>
      <c r="E51" s="169">
        <f>0.5*'ENecesario(W1)'!C56*'ENecesario(W1)'!E56</f>
        <v>218299.9868339666</v>
      </c>
      <c r="F51" s="38">
        <f t="shared" si="1"/>
        <v>-3.8041046979446227E-10</v>
      </c>
      <c r="G51" s="38">
        <f t="shared" si="2"/>
        <v>8.6645388837286938E-2</v>
      </c>
      <c r="H51" s="170">
        <f t="shared" si="3"/>
        <v>-2.8182253105322196E-2</v>
      </c>
      <c r="I51" s="170">
        <f t="shared" si="4"/>
        <v>3.7369723611448941E-2</v>
      </c>
      <c r="J51" s="170"/>
    </row>
    <row r="52" spans="1:10">
      <c r="A52" s="5">
        <v>270</v>
      </c>
      <c r="B52" s="38">
        <f>ESTABILIDAD!A52/SQRT(1.41*287.05*EDisponible!$C$7)</f>
        <v>0.79061694880731059</v>
      </c>
      <c r="C52" s="38">
        <f>(2*$L$2)/(1.225*A52^2*DATOS!B$5)</f>
        <v>0.1194644893239023</v>
      </c>
      <c r="D52" s="38">
        <f t="shared" si="0"/>
        <v>1.402161438681314E-2</v>
      </c>
      <c r="E52" s="169">
        <f>0.5*'ENecesario(W1)'!C57*'ENecesario(W1)'!E57</f>
        <v>225506.13431074703</v>
      </c>
      <c r="F52" s="38">
        <f t="shared" si="1"/>
        <v>-3.2150775230221489E-10</v>
      </c>
      <c r="G52" s="38">
        <f t="shared" si="2"/>
        <v>8.3466014144012016E-2</v>
      </c>
      <c r="H52" s="170">
        <f t="shared" si="3"/>
        <v>-2.804314196653316E-2</v>
      </c>
      <c r="I52" s="170">
        <f t="shared" si="4"/>
        <v>3.5998475179890285E-2</v>
      </c>
      <c r="J52" s="170"/>
    </row>
    <row r="53" spans="1:10">
      <c r="A53" s="5">
        <v>275</v>
      </c>
      <c r="B53" s="38">
        <f>ESTABILIDAD!A53/SQRT(1.41*287.05*EDisponible!$C$7)</f>
        <v>0.80525800341485332</v>
      </c>
      <c r="C53" s="38">
        <f>(2*$L$2)/(1.225*A53^2*DATOS!B$5)</f>
        <v>0.11515981846892533</v>
      </c>
      <c r="D53" s="38">
        <f t="shared" si="0"/>
        <v>1.3958204770951469E-2</v>
      </c>
      <c r="E53" s="169">
        <f>0.5*'ENecesario(W1)'!C58*'ENecesario(W1)'!E58</f>
        <v>232886.56720637216</v>
      </c>
      <c r="F53" s="38">
        <f t="shared" si="1"/>
        <v>-2.7256562431607949E-10</v>
      </c>
      <c r="G53" s="38">
        <f t="shared" si="2"/>
        <v>8.0458478427748448E-2</v>
      </c>
      <c r="H53" s="170">
        <f t="shared" si="3"/>
        <v>-2.7916334586356253E-2</v>
      </c>
      <c r="I53" s="170">
        <f t="shared" si="4"/>
        <v>3.4701340041176879E-2</v>
      </c>
      <c r="J53" s="170"/>
    </row>
    <row r="54" spans="1:10">
      <c r="A54" s="5">
        <v>280</v>
      </c>
      <c r="B54" s="38">
        <f>ESTABILIDAD!A54/SQRT(1.41*287.05*EDisponible!$C$7)</f>
        <v>0.81989905802239615</v>
      </c>
      <c r="C54" s="38">
        <f>(2*$L$2)/(1.225*A54^2*DATOS!B$5)</f>
        <v>0.11108368969021017</v>
      </c>
      <c r="D54" s="38">
        <f t="shared" si="0"/>
        <v>1.3900306420489447E-2</v>
      </c>
      <c r="E54" s="169">
        <f>0.5*'ENecesario(W1)'!C59*'ENecesario(W1)'!E59</f>
        <v>240439.20314596297</v>
      </c>
      <c r="F54" s="38">
        <f t="shared" si="1"/>
        <v>-2.3176243472184116E-10</v>
      </c>
      <c r="G54" s="38">
        <f t="shared" si="2"/>
        <v>7.7610617743602991E-2</v>
      </c>
      <c r="H54" s="170">
        <f t="shared" si="3"/>
        <v>-2.7800547947497169E-2</v>
      </c>
      <c r="I54" s="170">
        <f t="shared" si="4"/>
        <v>3.3473071946607175E-2</v>
      </c>
      <c r="J54" s="170"/>
    </row>
    <row r="55" spans="1:10">
      <c r="A55" s="5">
        <v>285</v>
      </c>
      <c r="B55" s="38">
        <f>ESTABILIDAD!A55/SQRT(1.41*287.05*EDisponible!$C$7)</f>
        <v>0.83454011262993899</v>
      </c>
      <c r="C55" s="38">
        <f>(2*$L$2)/(1.225*A55^2*DATOS!B$5)</f>
        <v>0.10722020648461036</v>
      </c>
      <c r="D55" s="38">
        <f t="shared" si="0"/>
        <v>1.3847354382026658E-2</v>
      </c>
      <c r="E55" s="169">
        <f>0.5*'ENecesario(W1)'!C60*'ENecesario(W1)'!E60</f>
        <v>248162.14080207932</v>
      </c>
      <c r="F55" s="38">
        <f t="shared" si="1"/>
        <v>-1.9763396631920925E-10</v>
      </c>
      <c r="G55" s="38">
        <f t="shared" si="2"/>
        <v>7.4911325713739305E-2</v>
      </c>
      <c r="H55" s="170">
        <f t="shared" si="3"/>
        <v>-2.7694652438372915E-2</v>
      </c>
      <c r="I55" s="170">
        <f t="shared" si="4"/>
        <v>3.230888077087106E-2</v>
      </c>
      <c r="J55" s="170"/>
    </row>
    <row r="56" spans="1:10">
      <c r="A56" s="5">
        <v>290</v>
      </c>
      <c r="B56" s="38">
        <f>ESTABILIDAD!A56/SQRT(1.41*287.05*EDisponible!$C$7)</f>
        <v>0.84918116723748172</v>
      </c>
      <c r="C56" s="38">
        <f>(2*$L$2)/(1.225*A56^2*DATOS!B$5)</f>
        <v>0.103554830817033</v>
      </c>
      <c r="D56" s="38">
        <f t="shared" si="0"/>
        <v>1.3798850127378456E-2</v>
      </c>
      <c r="E56" s="169">
        <f>0.5*'ENecesario(W1)'!C61*'ENecesario(W1)'!E61</f>
        <v>256053.6413290902</v>
      </c>
      <c r="F56" s="38">
        <f t="shared" si="1"/>
        <v>-1.6899869288126691E-10</v>
      </c>
      <c r="G56" s="38">
        <f t="shared" si="2"/>
        <v>7.2350445078459849E-2</v>
      </c>
      <c r="H56" s="170">
        <f t="shared" si="3"/>
        <v>-2.7597651245135978E-2</v>
      </c>
      <c r="I56" s="170">
        <f t="shared" si="4"/>
        <v>3.1204385738573148E-2</v>
      </c>
      <c r="J56" s="170"/>
    </row>
    <row r="57" spans="1:10">
      <c r="A57" s="5">
        <v>295</v>
      </c>
      <c r="B57" s="38">
        <f>ESTABILIDAD!A57/SQRT(1.41*287.05*EDisponible!$C$7)</f>
        <v>0.86382222184502455</v>
      </c>
      <c r="C57" s="38">
        <f>(2*$L$2)/(1.225*A57^2*DATOS!B$5)</f>
        <v>0.10007424615584574</v>
      </c>
      <c r="D57" s="38">
        <f t="shared" si="0"/>
        <v>1.3754352775858356E-2</v>
      </c>
      <c r="E57" s="169">
        <f>0.5*'ENecesario(W1)'!C62*'ENecesario(W1)'!E62</f>
        <v>264112.11198129767</v>
      </c>
      <c r="F57" s="38">
        <f t="shared" si="1"/>
        <v>-1.4489959875832077E-10</v>
      </c>
      <c r="G57" s="38">
        <f t="shared" si="2"/>
        <v>6.9918672003429758E-2</v>
      </c>
      <c r="H57" s="170">
        <f t="shared" si="3"/>
        <v>-2.7508662806335078E-2</v>
      </c>
      <c r="I57" s="170">
        <f t="shared" si="4"/>
        <v>3.0155574152415987E-2</v>
      </c>
      <c r="J57" s="170"/>
    </row>
    <row r="58" spans="1:10">
      <c r="A58" s="5">
        <v>300</v>
      </c>
      <c r="B58" s="38">
        <f>ESTABILIDAD!A58/SQRT(1.41*287.05*EDisponible!$C$7)</f>
        <v>0.87846327645256728</v>
      </c>
      <c r="C58" s="38">
        <f>(2*$L$2)/(1.225*A58^2*DATOS!B$5)</f>
        <v>9.676623635236084E-2</v>
      </c>
      <c r="D58" s="38">
        <f t="shared" si="0"/>
        <v>1.37134716001881E-2</v>
      </c>
      <c r="E58" s="169">
        <f>0.5*'ENecesario(W1)'!C63*'ENecesario(W1)'!E63</f>
        <v>272336.09162611829</v>
      </c>
      <c r="F58" s="38">
        <f t="shared" si="1"/>
        <v>-1.2455869061421489E-10</v>
      </c>
      <c r="G58" s="38">
        <f t="shared" si="2"/>
        <v>6.760747145664972E-2</v>
      </c>
      <c r="H58" s="170">
        <f t="shared" si="3"/>
        <v>-2.7426905832769015E-2</v>
      </c>
      <c r="I58" s="170">
        <f t="shared" si="4"/>
        <v>2.915876489571112E-2</v>
      </c>
      <c r="J58" s="170"/>
    </row>
    <row r="59" spans="1:10">
      <c r="A59" s="5">
        <v>305</v>
      </c>
      <c r="B59" s="38">
        <f>ESTABILIDAD!A59/SQRT(1.41*287.05*EDisponible!$C$7)</f>
        <v>0.89310433106011011</v>
      </c>
      <c r="C59" s="38">
        <f>(2*$L$2)/(1.225*A59^2*DATOS!B$5)</f>
        <v>9.3619578303815912E-2</v>
      </c>
      <c r="D59" s="38">
        <f t="shared" si="0"/>
        <v>1.3675859610812214E-2</v>
      </c>
      <c r="E59" s="169">
        <f>0.5*'ENecesario(W1)'!C64*'ENecesario(W1)'!E64</f>
        <v>280724.23790586193</v>
      </c>
      <c r="F59" s="38">
        <f t="shared" si="1"/>
        <v>-1.0734128068891698E-10</v>
      </c>
      <c r="G59" s="38">
        <f t="shared" si="2"/>
        <v>6.5409002215517056E-2</v>
      </c>
      <c r="H59" s="170">
        <f t="shared" si="3"/>
        <v>-2.7351686482533819E-2</v>
      </c>
      <c r="I59" s="170">
        <f t="shared" si="4"/>
        <v>2.8210576088298855E-2</v>
      </c>
      <c r="J59" s="170"/>
    </row>
    <row r="60" spans="1:10">
      <c r="A60" s="5">
        <v>310</v>
      </c>
      <c r="B60" s="38">
        <f>ESTABILIDAD!A60/SQRT(1.41*287.05*EDisponible!$C$7)</f>
        <v>0.90774538566765284</v>
      </c>
      <c r="C60" s="38">
        <f>(2*$L$2)/(1.225*A60^2*DATOS!B$5)</f>
        <v>9.0623946635925864E-2</v>
      </c>
      <c r="D60" s="38">
        <f t="shared" si="0"/>
        <v>1.364120804891536E-2</v>
      </c>
      <c r="E60" s="169">
        <f>0.5*'ENecesario(W1)'!C65*'ENecesario(W1)'!E65</f>
        <v>289275.31583713152</v>
      </c>
      <c r="F60" s="38">
        <f t="shared" si="1"/>
        <v>-9.2727826912991397E-11</v>
      </c>
      <c r="G60" s="38">
        <f t="shared" si="2"/>
        <v>6.3316050271576219E-2</v>
      </c>
      <c r="H60" s="170">
        <f t="shared" si="3"/>
        <v>-2.7282387352204375E-2</v>
      </c>
      <c r="I60" s="170">
        <f t="shared" si="4"/>
        <v>2.7307896364349646E-2</v>
      </c>
      <c r="J60" s="170"/>
    </row>
    <row r="61" spans="1:10">
      <c r="A61" s="5">
        <v>315</v>
      </c>
      <c r="B61" s="38">
        <f>ESTABILIDAD!A61/SQRT(1.41*287.05*EDisponible!$C$7)</f>
        <v>0.92238644027519567</v>
      </c>
      <c r="C61" s="38">
        <f>(2*$L$2)/(1.225*A61^2*DATOS!B$5)</f>
        <v>8.7769828891030244E-2</v>
      </c>
      <c r="D61" s="38">
        <f t="shared" si="0"/>
        <v>1.3609241647359362E-2</v>
      </c>
      <c r="E61" s="169">
        <f>0.5*'ENecesario(W1)'!C66*'ENecesario(W1)'!E66</f>
        <v>297988.18766676192</v>
      </c>
      <c r="F61" s="38">
        <f t="shared" si="1"/>
        <v>-8.0291642562337019E-11</v>
      </c>
      <c r="G61" s="38">
        <f t="shared" si="2"/>
        <v>6.1321969575192481E-2</v>
      </c>
      <c r="H61" s="170">
        <f t="shared" si="3"/>
        <v>-2.7218458002851317E-2</v>
      </c>
      <c r="I61" s="170">
        <f t="shared" si="4"/>
        <v>2.6447859315837763E-2</v>
      </c>
      <c r="J61" s="170"/>
    </row>
    <row r="62" spans="1:10">
      <c r="A62" s="5">
        <v>320</v>
      </c>
      <c r="B62" s="38">
        <f>ESTABILIDAD!A62/SQRT(1.41*287.05*EDisponible!$C$7)</f>
        <v>0.93702749488273851</v>
      </c>
      <c r="C62" s="38">
        <f>(2*$L$2)/(1.225*A62^2*DATOS!B$5)</f>
        <v>8.5048449919067154E-2</v>
      </c>
      <c r="D62" s="38">
        <f t="shared" si="0"/>
        <v>1.3579714542381631E-2</v>
      </c>
      <c r="E62" s="169">
        <f>0.5*'ENecesario(W1)'!C67*'ENecesario(W1)'!E67</f>
        <v>306861.80382847734</v>
      </c>
      <c r="F62" s="38">
        <f t="shared" si="1"/>
        <v>-6.9681184054377145E-11</v>
      </c>
      <c r="G62" s="38">
        <f t="shared" si="2"/>
        <v>5.9420629209946042E-2</v>
      </c>
      <c r="H62" s="170">
        <f t="shared" si="3"/>
        <v>-2.7159406786784364E-2</v>
      </c>
      <c r="I62" s="170">
        <f t="shared" si="4"/>
        <v>2.5627820709121112E-2</v>
      </c>
      <c r="J62" s="170"/>
    </row>
    <row r="63" spans="1:10">
      <c r="A63" s="5">
        <v>325</v>
      </c>
      <c r="B63" s="38">
        <f>ESTABILIDAD!A63/SQRT(1.41*287.05*EDisponible!$C$7)</f>
        <v>0.95166854949028123</v>
      </c>
      <c r="C63" s="38">
        <f>(2*$L$2)/(1.225*A63^2*DATOS!B$5)</f>
        <v>8.2451704347573734E-2</v>
      </c>
      <c r="D63" s="38">
        <f t="shared" si="0"/>
        <v>1.3552406738261981E-2</v>
      </c>
      <c r="E63" s="169">
        <f>0.5*'ENecesario(W1)'!C68*'ENecesario(W1)'!E68</f>
        <v>315895.1948658551</v>
      </c>
      <c r="F63" s="38">
        <f t="shared" si="1"/>
        <v>-6.060592413616742E-11</v>
      </c>
      <c r="G63" s="38">
        <f t="shared" si="2"/>
        <v>5.7606366211583195E-2</v>
      </c>
      <c r="H63" s="170">
        <f t="shared" si="3"/>
        <v>-2.7104793779598617E-2</v>
      </c>
      <c r="I63" s="170">
        <f t="shared" si="4"/>
        <v>2.484533813599054E-2</v>
      </c>
      <c r="J63" s="170"/>
    </row>
    <row r="64" spans="1:10">
      <c r="A64" s="5">
        <v>330</v>
      </c>
      <c r="B64" s="38">
        <f>ESTABILIDAD!A64/SQRT(1.41*287.05*EDisponible!$C$7)</f>
        <v>0.96630960409782407</v>
      </c>
      <c r="C64" s="38">
        <f>(2*$L$2)/(1.225*A64^2*DATOS!B$5)</f>
        <v>7.9972096158975922E-2</v>
      </c>
      <c r="D64" s="38">
        <f t="shared" si="0"/>
        <v>1.3527121043090021E-2</v>
      </c>
      <c r="E64" s="169">
        <f>0.5*'ENecesario(W1)'!C69*'ENecesario(W1)'!E69</f>
        <v>325087.46420536737</v>
      </c>
      <c r="F64" s="38">
        <f t="shared" si="1"/>
        <v>-5.2825044037083763E-11</v>
      </c>
      <c r="G64" s="38">
        <f t="shared" si="2"/>
        <v>5.5873943352603081E-2</v>
      </c>
      <c r="H64" s="170">
        <f t="shared" si="3"/>
        <v>-2.705422465391551E-2</v>
      </c>
      <c r="I64" s="170">
        <f t="shared" si="4"/>
        <v>2.4098152806372841E-2</v>
      </c>
      <c r="J64" s="170"/>
    </row>
    <row r="65" spans="1:10">
      <c r="A65" s="5">
        <v>335</v>
      </c>
      <c r="B65" s="38">
        <f>ESTABILIDAD!A65/SQRT(1.41*287.05*EDisponible!$C$7)</f>
        <v>0.9809506587053668</v>
      </c>
      <c r="C65" s="38">
        <f>(2*$L$2)/(1.225*A65^2*DATOS!B$5)</f>
        <v>7.7602684532969285E-2</v>
      </c>
      <c r="D65" s="38">
        <f t="shared" si="0"/>
        <v>1.3503680406902811E-2</v>
      </c>
      <c r="E65" s="169">
        <f>0.5*'ENecesario(W1)'!C70*'ENecesario(W1)'!E70</f>
        <v>334437.78167877044</v>
      </c>
      <c r="F65" s="38">
        <f t="shared" si="1"/>
        <v>-4.6138350437571971E-11</v>
      </c>
      <c r="G65" s="38">
        <f t="shared" si="2"/>
        <v>5.421851130406305E-2</v>
      </c>
      <c r="H65" s="170">
        <f t="shared" si="3"/>
        <v>-2.7007345357458225E-2</v>
      </c>
      <c r="I65" s="170">
        <f t="shared" si="4"/>
        <v>2.3384173228906235E-2</v>
      </c>
      <c r="J65" s="170"/>
    </row>
    <row r="66" spans="1:10">
      <c r="A66" s="5">
        <v>340</v>
      </c>
      <c r="B66" s="38">
        <f>ESTABILIDAD!A66/SQRT(1.41*287.05*EDisponible!$C$7)</f>
        <v>0.99559171331290963</v>
      </c>
      <c r="C66" s="38">
        <f>(2*$L$2)/(1.225*A66^2*DATOS!B$5)</f>
        <v>7.5337035222426268E-2</v>
      </c>
      <c r="D66" s="38">
        <f t="shared" si="0"/>
        <v>1.3481925604333313E-2</v>
      </c>
      <c r="E66" s="169">
        <f>0.5*'ENecesario(W1)'!C71*'ENecesario(W1)'!E71</f>
        <v>343945.37770733942</v>
      </c>
      <c r="F66" s="38">
        <f t="shared" si="1"/>
        <v>-4.0378954814009523E-11</v>
      </c>
      <c r="G66" s="38">
        <f t="shared" si="2"/>
        <v>5.2635574663481621E-2</v>
      </c>
      <c r="H66" s="170">
        <f t="shared" si="3"/>
        <v>-2.6963837479821989E-2</v>
      </c>
      <c r="I66" s="170">
        <f t="shared" si="4"/>
        <v>2.2701460558944647E-2</v>
      </c>
      <c r="J66" s="1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B15" sqref="B15"/>
    </sheetView>
  </sheetViews>
  <sheetFormatPr baseColWidth="10" defaultRowHeight="15"/>
  <sheetData>
    <row r="1" spans="1:10">
      <c r="A1" t="s">
        <v>179</v>
      </c>
      <c r="B1">
        <f>(1/(4*E1*E2))^0.5</f>
        <v>17.414542110948513</v>
      </c>
      <c r="D1" t="s">
        <v>180</v>
      </c>
      <c r="E1">
        <f>1/(PI()*DATOS!B6*DATOS!J18)</f>
        <v>6.2805409961308373E-2</v>
      </c>
    </row>
    <row r="2" spans="1:10">
      <c r="A2" t="s">
        <v>182</v>
      </c>
      <c r="B2">
        <f>(E2/E1)^0.5</f>
        <v>0.45715227957208943</v>
      </c>
      <c r="D2" t="s">
        <v>181</v>
      </c>
      <c r="E2">
        <f>DATOS!J17</f>
        <v>1.3125589999999999E-2</v>
      </c>
    </row>
    <row r="3" spans="1:10">
      <c r="A3" t="s">
        <v>183</v>
      </c>
      <c r="B3">
        <f>2*E2</f>
        <v>2.6251179999999999E-2</v>
      </c>
      <c r="D3" t="s">
        <v>185</v>
      </c>
      <c r="E3">
        <f>DATOS!J6</f>
        <v>358.7</v>
      </c>
    </row>
    <row r="5" spans="1:10">
      <c r="A5">
        <f>DATOS!M12*9.81</f>
        <v>1913391.4500000002</v>
      </c>
      <c r="B5" t="s">
        <v>64</v>
      </c>
      <c r="C5" t="s">
        <v>78</v>
      </c>
      <c r="D5" t="s">
        <v>80</v>
      </c>
      <c r="E5" t="s">
        <v>82</v>
      </c>
      <c r="F5" t="s">
        <v>83</v>
      </c>
      <c r="G5" t="s">
        <v>84</v>
      </c>
      <c r="H5" t="s">
        <v>85</v>
      </c>
      <c r="I5" t="s">
        <v>86</v>
      </c>
      <c r="J5" s="138"/>
    </row>
    <row r="6" spans="1:10">
      <c r="A6" t="s">
        <v>184</v>
      </c>
      <c r="B6" s="138">
        <f>(2*$A$5/(DATOS!B24*$E$3))^0.5*($E$1/$E$2)^0.25</f>
        <v>137.69873505755271</v>
      </c>
      <c r="C6" s="139">
        <f>(2*$A$5/(DATOS!C24*$E$3))^0.5*($E$1/$E$2)^0.25</f>
        <v>148.15192682404538</v>
      </c>
      <c r="D6" s="139">
        <f>(2*$A$5/(DATOS!D24*$E$3))^0.5*($E$1/$E$2)^0.25</f>
        <v>159.81455546652958</v>
      </c>
      <c r="E6" s="139">
        <f>(2*$A$5/(DATOS!E24*$E$3))^0.5*($E$1/$E$2)^0.25</f>
        <v>172.87835490017238</v>
      </c>
      <c r="F6" s="139">
        <f>(2*$A$5/(DATOS!F24*$E$3))^0.5*($E$1/$E$2)^0.25</f>
        <v>187.57432041238295</v>
      </c>
      <c r="G6" s="139">
        <f>(2*$A$5/(DATOS!G24*$E$3))^0.5*($E$1/$E$2)^0.25</f>
        <v>204.18271396909833</v>
      </c>
      <c r="H6" s="139">
        <f>(2*$A$5/(DATOS!H24*$E$3))^0.5*($E$1/$E$2)^0.25</f>
        <v>223.04616348106345</v>
      </c>
      <c r="I6" s="139">
        <f>(2*$A$5/(DATOS!I24*$E$3))^0.5*($E$1/$E$2)^0.25</f>
        <v>244.58699626288714</v>
      </c>
      <c r="J6" s="40"/>
    </row>
    <row r="7" spans="1:10">
      <c r="B7" s="138"/>
    </row>
    <row r="8" spans="1:10">
      <c r="A8" s="138">
        <f>DATOS!M13*9.81</f>
        <v>1689939.27</v>
      </c>
      <c r="B8" s="138" t="s">
        <v>64</v>
      </c>
      <c r="C8" s="138" t="s">
        <v>78</v>
      </c>
      <c r="D8" s="138" t="s">
        <v>80</v>
      </c>
      <c r="E8" s="138" t="s">
        <v>82</v>
      </c>
      <c r="F8" s="138" t="s">
        <v>83</v>
      </c>
      <c r="G8" s="138" t="s">
        <v>84</v>
      </c>
      <c r="H8" s="138" t="s">
        <v>85</v>
      </c>
      <c r="I8" s="138" t="s">
        <v>86</v>
      </c>
    </row>
    <row r="9" spans="1:10">
      <c r="A9" s="138" t="s">
        <v>186</v>
      </c>
      <c r="B9" s="138">
        <f>(2*$A$8/(DATOS!B24*$E$3))^0.5*($E$1/$E$2)^0.25</f>
        <v>129.40873301047259</v>
      </c>
      <c r="C9" s="139">
        <f>(2*$A$8/(DATOS!C24*$E$3))^0.5*($E$1/$E$2)^0.25</f>
        <v>139.23260177623814</v>
      </c>
      <c r="D9" s="139">
        <f>(2*$A$8/(DATOS!D24*$E$3))^0.5*($E$1/$E$2)^0.25</f>
        <v>150.19309459096681</v>
      </c>
      <c r="E9" s="139">
        <f>(2*$A$8/(DATOS!E24*$E$3))^0.5*($E$1/$E$2)^0.25</f>
        <v>162.47040223873896</v>
      </c>
      <c r="F9" s="139">
        <f>(2*$A$8/(DATOS!F24*$E$3))^0.5*($E$1/$E$2)^0.25</f>
        <v>176.2816131878148</v>
      </c>
      <c r="G9" s="139">
        <f>(2*$A$8/(DATOS!G24*$E$3))^0.5*($E$1/$E$2)^0.25</f>
        <v>191.89011653837591</v>
      </c>
      <c r="H9" s="139">
        <f>(2*$A$8/(DATOS!H24*$E$3))^0.5*($E$1/$E$2)^0.25</f>
        <v>209.6179126617763</v>
      </c>
      <c r="I9" s="139">
        <f>(2*$A$8/(DATOS!I24*$E$3))^0.5*($E$1/$E$2)^0.25</f>
        <v>229.86190311761573</v>
      </c>
    </row>
    <row r="10" spans="1:10">
      <c r="B10" s="138"/>
    </row>
    <row r="11" spans="1:10">
      <c r="A11" s="138">
        <f>DATOS!M14*9.81</f>
        <v>1436193.81</v>
      </c>
      <c r="B11" s="138" t="s">
        <v>64</v>
      </c>
      <c r="C11" s="138" t="s">
        <v>78</v>
      </c>
      <c r="D11" s="138" t="s">
        <v>80</v>
      </c>
      <c r="E11" s="138" t="s">
        <v>82</v>
      </c>
      <c r="F11" s="138" t="s">
        <v>83</v>
      </c>
      <c r="G11" s="138" t="s">
        <v>84</v>
      </c>
      <c r="H11" s="138" t="s">
        <v>85</v>
      </c>
      <c r="I11" s="138" t="s">
        <v>86</v>
      </c>
    </row>
    <row r="12" spans="1:10">
      <c r="A12" s="138" t="s">
        <v>187</v>
      </c>
      <c r="B12" s="138">
        <f>(2*$A$11/(DATOS!B24*$E$3))^0.5*($E$1/$E$2)^0.25</f>
        <v>119.2983841921385</v>
      </c>
      <c r="C12" s="139">
        <f>(2*$A$11/(DATOS!C24*$E$3))^0.5*($E$1/$E$2)^0.25</f>
        <v>128.3547410778566</v>
      </c>
      <c r="D12" s="139">
        <f>(2*$A$11/(DATOS!D24*$E$3))^0.5*($E$1/$E$2)^0.25</f>
        <v>138.45892069795119</v>
      </c>
      <c r="E12" s="139">
        <f>(2*$A$11/(DATOS!E24*$E$3))^0.5*($E$1/$E$2)^0.25</f>
        <v>149.77703602553476</v>
      </c>
      <c r="F12" s="139">
        <f>(2*$A$11/(DATOS!F24*$E$3))^0.5*($E$1/$E$2)^0.25</f>
        <v>162.50921500319453</v>
      </c>
      <c r="G12" s="139">
        <f>(2*$A$11/(DATOS!G24*$E$3))^0.5*($E$1/$E$2)^0.25</f>
        <v>176.89826886425678</v>
      </c>
      <c r="H12" s="139">
        <f>(2*$A$11/(DATOS!H24*$E$3))^0.5*($E$1/$E$2)^0.25</f>
        <v>193.2410409756117</v>
      </c>
      <c r="I12" s="139">
        <f>(2*$A$11/(DATOS!I24*$E$3))^0.5*($E$1/$E$2)^0.25</f>
        <v>211.90342406831434</v>
      </c>
    </row>
    <row r="14" spans="1:10">
      <c r="A14" t="s">
        <v>188</v>
      </c>
      <c r="B14">
        <f>(3/4)*(1/(3*E1*(E2)^3))^0.25</f>
        <v>29.355708081957175</v>
      </c>
    </row>
    <row r="15" spans="1:10">
      <c r="A15" t="s">
        <v>189</v>
      </c>
      <c r="B15">
        <f>(E2/(3*E1))^0.5</f>
        <v>0.26393699167159684</v>
      </c>
    </row>
    <row r="16" spans="1:10">
      <c r="A16" t="s">
        <v>190</v>
      </c>
      <c r="B16">
        <f>(4/3)*E2</f>
        <v>1.7500786666666664E-2</v>
      </c>
    </row>
    <row r="18" spans="1:9">
      <c r="A18" s="138">
        <f>DATOS!M12*9.81</f>
        <v>1913391.4500000002</v>
      </c>
      <c r="B18" s="138" t="s">
        <v>64</v>
      </c>
      <c r="C18" s="138" t="s">
        <v>78</v>
      </c>
      <c r="D18" s="138" t="s">
        <v>80</v>
      </c>
      <c r="E18" s="138" t="s">
        <v>82</v>
      </c>
      <c r="F18" s="138" t="s">
        <v>83</v>
      </c>
      <c r="G18" s="138" t="s">
        <v>84</v>
      </c>
      <c r="H18" s="138" t="s">
        <v>85</v>
      </c>
      <c r="I18" s="138" t="s">
        <v>86</v>
      </c>
    </row>
    <row r="19" spans="1:9">
      <c r="A19" s="138" t="s">
        <v>191</v>
      </c>
      <c r="B19" s="138">
        <f>(2*$A$18/(DATOS!B24*$E$3))^0.5*(3*$E$1/$E$2)^0.25</f>
        <v>181.22172682567546</v>
      </c>
      <c r="C19" s="139">
        <f>(2*$A$18/(DATOS!C24*$E$3))^0.5*(3*$E$1/$E$2)^0.25</f>
        <v>194.9789008619654</v>
      </c>
      <c r="D19" s="139">
        <f>(2*$A$18/(DATOS!D24*$E$3))^0.5*(3*$E$1/$E$2)^0.25</f>
        <v>210.3277833410543</v>
      </c>
      <c r="E19" s="139">
        <f>(2*$A$18/(DATOS!E24*$E$3))^0.5*(3*$E$1/$E$2)^0.25</f>
        <v>227.52071028609507</v>
      </c>
      <c r="F19" s="139">
        <f>(2*$A$18/(DATOS!F24*$E$3))^0.5*(3*$E$1/$E$2)^0.25</f>
        <v>246.86168859196144</v>
      </c>
      <c r="G19" s="139">
        <f>(2*$A$18/(DATOS!G24*$E$3))^0.5*(3*$E$1/$E$2)^0.25</f>
        <v>268.71956374884218</v>
      </c>
      <c r="H19" s="139">
        <f>(2*$A$18/(DATOS!H24*$E$3))^0.5*(3*$E$1/$E$2)^0.25</f>
        <v>293.54525944618086</v>
      </c>
      <c r="I19" s="139">
        <f>(2*$A$18/(DATOS!I24*$E$3))^0.5*(3*$E$1/$E$2)^0.25</f>
        <v>321.89458968769418</v>
      </c>
    </row>
    <row r="21" spans="1:9">
      <c r="A21" s="138">
        <f>DATOS!M13*9.81</f>
        <v>1689939.27</v>
      </c>
      <c r="B21" s="138" t="s">
        <v>64</v>
      </c>
      <c r="C21" s="138" t="s">
        <v>78</v>
      </c>
      <c r="D21" s="138" t="s">
        <v>80</v>
      </c>
      <c r="E21" s="138" t="s">
        <v>82</v>
      </c>
      <c r="F21" s="138" t="s">
        <v>83</v>
      </c>
      <c r="G21" s="138" t="s">
        <v>84</v>
      </c>
      <c r="H21" s="138" t="s">
        <v>85</v>
      </c>
      <c r="I21" s="138" t="s">
        <v>86</v>
      </c>
    </row>
    <row r="22" spans="1:9">
      <c r="A22" s="138" t="s">
        <v>192</v>
      </c>
      <c r="B22" s="138">
        <f>(2*$A$21/(DATOS!B24*$E$3))^0.5*(3*$E$1/$E$2)^0.25</f>
        <v>170.31147056419033</v>
      </c>
      <c r="C22" s="139">
        <f>(2*$A$21/(DATOS!C24*$E$3))^0.5*(3*$E$1/$E$2)^0.25</f>
        <v>183.24040895347005</v>
      </c>
      <c r="D22" s="139">
        <f>(2*$A$21/(DATOS!D24*$E$3))^0.5*(3*$E$1/$E$2)^0.25</f>
        <v>197.66522871608697</v>
      </c>
      <c r="E22" s="139">
        <f>(2*$A$21/(DATOS!E24*$E$3))^0.5*(3*$E$1/$E$2)^0.25</f>
        <v>213.82307426034276</v>
      </c>
      <c r="F22" s="139">
        <f>(2*$A$21/(DATOS!F24*$E$3))^0.5*(3*$E$1/$E$2)^0.25</f>
        <v>231.99965007782646</v>
      </c>
      <c r="G22" s="139">
        <f>(2*$A$21/(DATOS!G24*$E$3))^0.5*(3*$E$1/$E$2)^0.25</f>
        <v>252.54159571858185</v>
      </c>
      <c r="H22" s="139">
        <f>(2*$A$21/(DATOS!H24*$E$3))^0.5*(3*$E$1/$E$2)^0.25</f>
        <v>275.87268750350898</v>
      </c>
      <c r="I22" s="139">
        <f>(2*$A$21/(DATOS!I24*$E$3))^0.5*(3*$E$1/$E$2)^0.25</f>
        <v>302.51527726089756</v>
      </c>
    </row>
    <row r="24" spans="1:9">
      <c r="A24" s="138">
        <f>DATOS!M14*9.81</f>
        <v>1436193.81</v>
      </c>
      <c r="B24" s="138" t="s">
        <v>64</v>
      </c>
      <c r="C24" s="138" t="s">
        <v>78</v>
      </c>
      <c r="D24" s="138" t="s">
        <v>80</v>
      </c>
      <c r="E24" s="138" t="s">
        <v>82</v>
      </c>
      <c r="F24" s="138" t="s">
        <v>83</v>
      </c>
      <c r="G24" s="138" t="s">
        <v>84</v>
      </c>
      <c r="H24" s="138" t="s">
        <v>85</v>
      </c>
      <c r="I24" s="138" t="s">
        <v>86</v>
      </c>
    </row>
    <row r="25" spans="1:9">
      <c r="A25" s="138" t="s">
        <v>193</v>
      </c>
      <c r="B25" s="138">
        <f>(2*$A$24/(DATOS!B24*$E$3))^0.5*(3*$E$1/$E$2)^0.25</f>
        <v>157.00550322249592</v>
      </c>
      <c r="C25" s="139">
        <f>(2*$A$24/(DATOS!C24*$E$3))^0.5*(3*$E$1/$E$2)^0.25</f>
        <v>168.92433917181287</v>
      </c>
      <c r="D25" s="139">
        <f>(2*$A$24/(DATOS!D24*$E$3))^0.5*(3*$E$1/$E$2)^0.25</f>
        <v>182.22218739202353</v>
      </c>
      <c r="E25" s="139">
        <f>(2*$A$24/(DATOS!E24*$E$3))^0.5*(3*$E$1/$E$2)^0.25</f>
        <v>197.11766485025555</v>
      </c>
      <c r="F25" s="139">
        <f>(2*$A$24/(DATOS!F24*$E$3))^0.5*(3*$E$1/$E$2)^0.25</f>
        <v>213.87415473101359</v>
      </c>
      <c r="G25" s="139">
        <f>(2*$A$24/(DATOS!G24*$E$3))^0.5*(3*$E$1/$E$2)^0.25</f>
        <v>232.81121458853139</v>
      </c>
      <c r="H25" s="139">
        <f>(2*$A$24/(DATOS!H24*$E$3))^0.5*(3*$E$1/$E$2)^0.25</f>
        <v>254.31951226389035</v>
      </c>
      <c r="I25" s="139">
        <f>(2*$A$24/(DATOS!I24*$E$3))^0.5*(3*$E$1/$E$2)^0.25</f>
        <v>278.88058967196025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opLeftCell="A7" workbookViewId="0">
      <selection activeCell="A14" sqref="A14"/>
    </sheetView>
  </sheetViews>
  <sheetFormatPr baseColWidth="10" defaultColWidth="14.42578125" defaultRowHeight="15" customHeight="1"/>
  <cols>
    <col min="1" max="1" width="18.5703125" customWidth="1"/>
    <col min="2" max="2" width="13" customWidth="1"/>
    <col min="3" max="3" width="11.85546875" customWidth="1"/>
    <col min="4" max="9" width="10.7109375" customWidth="1"/>
    <col min="10" max="10" width="11.85546875" customWidth="1"/>
    <col min="11" max="24" width="10.7109375" customWidth="1"/>
  </cols>
  <sheetData>
    <row r="1" spans="1:14">
      <c r="A1" t="s">
        <v>87</v>
      </c>
    </row>
    <row r="3" spans="1:14">
      <c r="A3" t="s">
        <v>88</v>
      </c>
      <c r="B3" t="s">
        <v>89</v>
      </c>
      <c r="C3" t="s">
        <v>90</v>
      </c>
      <c r="D3" t="s">
        <v>91</v>
      </c>
      <c r="F3" t="s">
        <v>92</v>
      </c>
      <c r="G3">
        <v>0.8</v>
      </c>
      <c r="H3" t="s">
        <v>93</v>
      </c>
      <c r="I3">
        <v>37.56</v>
      </c>
    </row>
    <row r="4" spans="1:14">
      <c r="A4" t="s">
        <v>94</v>
      </c>
      <c r="B4">
        <v>3.0000000000000001E-3</v>
      </c>
      <c r="C4">
        <f>2*DATOS!B5</f>
        <v>717.4</v>
      </c>
      <c r="D4">
        <f t="shared" ref="D4:D7" si="0">B4*C4</f>
        <v>2.1522000000000001</v>
      </c>
      <c r="K4" s="66"/>
    </row>
    <row r="5" spans="1:14">
      <c r="A5" t="s">
        <v>95</v>
      </c>
      <c r="B5">
        <v>2.3999999999999998E-3</v>
      </c>
      <c r="C5">
        <f>0.75*PI()*DATOS!B11*DATOS!B12</f>
        <v>700.422166188294</v>
      </c>
      <c r="D5">
        <f t="shared" si="0"/>
        <v>1.6810131988519055</v>
      </c>
      <c r="K5" s="66"/>
    </row>
    <row r="6" spans="1:14">
      <c r="A6" t="s">
        <v>96</v>
      </c>
      <c r="B6">
        <v>6.0000000000000001E-3</v>
      </c>
      <c r="C6">
        <f>3*PI()*DATOS!B13*DATOS!B14</f>
        <v>65.323136046092571</v>
      </c>
      <c r="D6">
        <f t="shared" si="0"/>
        <v>0.39193881627655541</v>
      </c>
      <c r="K6" s="66"/>
    </row>
    <row r="7" spans="1:14">
      <c r="A7" t="s">
        <v>97</v>
      </c>
      <c r="B7">
        <v>2.5000000000000001E-3</v>
      </c>
      <c r="C7">
        <f>2*DATOS!B19</f>
        <v>193.2</v>
      </c>
      <c r="D7">
        <f t="shared" si="0"/>
        <v>0.48299999999999998</v>
      </c>
      <c r="K7" s="66"/>
    </row>
    <row r="8" spans="1:14">
      <c r="A8" t="s">
        <v>98</v>
      </c>
      <c r="B8">
        <v>0.1</v>
      </c>
      <c r="K8" s="66"/>
    </row>
    <row r="9" spans="1:14">
      <c r="A9" t="s">
        <v>99</v>
      </c>
      <c r="C9">
        <f>SUM(C4:C7)</f>
        <v>1676.3453022343865</v>
      </c>
      <c r="K9" s="66"/>
    </row>
    <row r="10" spans="1:14">
      <c r="A10" t="s">
        <v>100</v>
      </c>
      <c r="B10">
        <f>SUM(D4:D7)/DATOS!B5</f>
        <v>1.3125598034927405E-2</v>
      </c>
      <c r="K10" s="66"/>
    </row>
    <row r="11" spans="1:14">
      <c r="C11" s="60" t="s">
        <v>101</v>
      </c>
      <c r="D11" s="60"/>
      <c r="E11" s="60"/>
      <c r="F11" s="61" t="s">
        <v>102</v>
      </c>
      <c r="G11" s="61"/>
      <c r="H11" s="61"/>
      <c r="I11" s="62" t="s">
        <v>103</v>
      </c>
      <c r="J11" s="62"/>
      <c r="K11" s="62"/>
      <c r="L11" s="63" t="s">
        <v>104</v>
      </c>
      <c r="M11" s="63"/>
      <c r="N11" s="63"/>
    </row>
    <row r="12" spans="1:14">
      <c r="A12" s="69" t="s">
        <v>126</v>
      </c>
      <c r="B12" s="64" t="s">
        <v>68</v>
      </c>
      <c r="C12" s="68" t="s">
        <v>125</v>
      </c>
      <c r="D12" s="68" t="s">
        <v>124</v>
      </c>
      <c r="E12" s="68" t="s">
        <v>127</v>
      </c>
      <c r="F12" t="s">
        <v>105</v>
      </c>
      <c r="G12" s="68" t="s">
        <v>124</v>
      </c>
      <c r="H12" s="68" t="s">
        <v>127</v>
      </c>
      <c r="I12" t="s">
        <v>106</v>
      </c>
      <c r="J12" t="s">
        <v>124</v>
      </c>
      <c r="K12" s="68" t="s">
        <v>127</v>
      </c>
      <c r="L12" t="s">
        <v>107</v>
      </c>
      <c r="M12" t="s">
        <v>124</v>
      </c>
      <c r="N12" s="68" t="s">
        <v>127</v>
      </c>
    </row>
    <row r="13" spans="1:14">
      <c r="A13">
        <f>0.01312559+((B13^2)/(PI()*(6.25*0.8112)))</f>
        <v>1.3125589999999999E-2</v>
      </c>
      <c r="B13">
        <v>0</v>
      </c>
      <c r="C13">
        <f t="shared" ref="C13:C25" si="1">A13</f>
        <v>1.3125589999999999E-2</v>
      </c>
      <c r="D13">
        <f t="shared" ref="D13:D25" si="2">0</f>
        <v>0</v>
      </c>
      <c r="E13">
        <f>0.8-G3</f>
        <v>0</v>
      </c>
      <c r="F13">
        <f t="shared" ref="F13:F25" si="3">A13+G13</f>
        <v>1.6519838581795312E-2</v>
      </c>
      <c r="G13">
        <f>0.00035*(10*H$13/((1/COS(I$3))-G$3))^(3/(1+1/(DATOS!E$6)))</f>
        <v>3.3942485817953128E-3</v>
      </c>
      <c r="H13">
        <f>0.85-G3</f>
        <v>4.9999999999999933E-2</v>
      </c>
      <c r="I13">
        <f t="shared" ref="I13:I25" si="4">A13+J13</f>
        <v>3.2994573812706124E-2</v>
      </c>
      <c r="J13">
        <f>0.00035*(10*K$13/((1/COS(I$3))-G$3))^(3/(1+1/(DATOS!B$6)))</f>
        <v>1.9868983812706128E-2</v>
      </c>
      <c r="K13">
        <f>0.9-G$3</f>
        <v>9.9999999999999978E-2</v>
      </c>
      <c r="L13">
        <f t="shared" ref="L13:L25" si="5">A13+M13</f>
        <v>7.3187513222405923E-2</v>
      </c>
      <c r="M13">
        <f>0.00035*(10*N$13/((1/COS(I$3))-G$3))^(3/(1+1/(DATOS!E$6)))</f>
        <v>6.0061923222405923E-2</v>
      </c>
      <c r="N13">
        <f>0.95-G3</f>
        <v>0.14999999999999991</v>
      </c>
    </row>
    <row r="14" spans="1:14">
      <c r="A14">
        <f t="shared" ref="A14:A25" si="6">0.01312559+((B14^2)/(PI()*(6.25*0.8112)))</f>
        <v>1.4106574609787323E-2</v>
      </c>
      <c r="B14">
        <f t="shared" ref="B14:B25" si="7">B13+0.125</f>
        <v>0.125</v>
      </c>
      <c r="C14">
        <f t="shared" si="1"/>
        <v>1.4106574609787323E-2</v>
      </c>
      <c r="D14">
        <f t="shared" si="2"/>
        <v>0</v>
      </c>
      <c r="F14">
        <f t="shared" si="3"/>
        <v>1.7500823191582637E-2</v>
      </c>
      <c r="G14">
        <f>0.00035*(10*H$13/((1/COS(I$3))-G$3))^(3/(1+1/(DATOS!E$6)))</f>
        <v>3.3942485817953128E-3</v>
      </c>
      <c r="H14">
        <f t="shared" ref="H14:H25" si="8">H13</f>
        <v>4.9999999999999933E-2</v>
      </c>
      <c r="I14">
        <f t="shared" si="4"/>
        <v>3.3975558422493453E-2</v>
      </c>
      <c r="J14">
        <f>0.00035*(10*K$13/((1/COS(I$3))-G$3))^(3/(1+1/(DATOS!B$6)))</f>
        <v>1.9868983812706128E-2</v>
      </c>
      <c r="L14">
        <f t="shared" si="5"/>
        <v>7.4168497832193245E-2</v>
      </c>
      <c r="M14">
        <f>0.00035*(10*N$13/((1/COS(I$3))-G$3))^(3/(1+1/(DATOS!E$6)))</f>
        <v>6.0061923222405923E-2</v>
      </c>
    </row>
    <row r="15" spans="1:14">
      <c r="A15">
        <f t="shared" si="6"/>
        <v>1.7049528439149295E-2</v>
      </c>
      <c r="B15">
        <f t="shared" si="7"/>
        <v>0.25</v>
      </c>
      <c r="C15">
        <f t="shared" si="1"/>
        <v>1.7049528439149295E-2</v>
      </c>
      <c r="D15">
        <f t="shared" si="2"/>
        <v>0</v>
      </c>
      <c r="F15">
        <f t="shared" si="3"/>
        <v>2.0443777020944607E-2</v>
      </c>
      <c r="G15">
        <f>0.00035*(10*H$13/((1/COS(I$3))-G$3))^(3/(1+1/(DATOS!E$6)))</f>
        <v>3.3942485817953128E-3</v>
      </c>
      <c r="H15">
        <f t="shared" si="8"/>
        <v>4.9999999999999933E-2</v>
      </c>
      <c r="I15">
        <f t="shared" si="4"/>
        <v>3.6918512251855426E-2</v>
      </c>
      <c r="J15">
        <f>0.00035*(10*K$13/((1/COS(I$3))-G$3))^(3/(1+1/(DATOS!B$6)))</f>
        <v>1.9868983812706128E-2</v>
      </c>
      <c r="L15">
        <f t="shared" si="5"/>
        <v>7.7111451661555225E-2</v>
      </c>
      <c r="M15">
        <f>0.00035*(10*N$13/((1/COS(I$3))-G$3))^(3/(1+1/(DATOS!E$6)))</f>
        <v>6.0061923222405923E-2</v>
      </c>
    </row>
    <row r="16" spans="1:14">
      <c r="A16">
        <f t="shared" si="6"/>
        <v>2.1954451488085912E-2</v>
      </c>
      <c r="B16">
        <f t="shared" si="7"/>
        <v>0.375</v>
      </c>
      <c r="C16">
        <f t="shared" si="1"/>
        <v>2.1954451488085912E-2</v>
      </c>
      <c r="D16">
        <f t="shared" si="2"/>
        <v>0</v>
      </c>
      <c r="F16">
        <f t="shared" si="3"/>
        <v>2.5348700069881224E-2</v>
      </c>
      <c r="G16">
        <f>0.00035*(10*H$13/((1/COS(I$3))-G$3))^(3/(1+1/(DATOS!E$6)))</f>
        <v>3.3942485817953128E-3</v>
      </c>
      <c r="H16">
        <f t="shared" si="8"/>
        <v>4.9999999999999933E-2</v>
      </c>
      <c r="I16">
        <f t="shared" si="4"/>
        <v>4.1823435300792036E-2</v>
      </c>
      <c r="J16">
        <f>0.00035*(10*K$13/((1/COS(I$3))-G$3))^(3/(1+1/(DATOS!B$6)))</f>
        <v>1.9868983812706128E-2</v>
      </c>
      <c r="L16">
        <f t="shared" si="5"/>
        <v>8.2016374710491835E-2</v>
      </c>
      <c r="M16">
        <f>0.00035*(10*N$13/((1/COS(I$3))-G$3))^(3/(1+1/(DATOS!E$6)))</f>
        <v>6.0061923222405923E-2</v>
      </c>
    </row>
    <row r="17" spans="1:13">
      <c r="A17">
        <f t="shared" si="6"/>
        <v>2.8821343756597173E-2</v>
      </c>
      <c r="B17">
        <f t="shared" si="7"/>
        <v>0.5</v>
      </c>
      <c r="C17">
        <f t="shared" si="1"/>
        <v>2.8821343756597173E-2</v>
      </c>
      <c r="D17">
        <f t="shared" si="2"/>
        <v>0</v>
      </c>
      <c r="F17">
        <f t="shared" si="3"/>
        <v>3.2215592338392489E-2</v>
      </c>
      <c r="G17">
        <f>0.00035*(10*H$13/((1/COS(I$3))-G$3))^(3/(1+1/(DATOS!E$6)))</f>
        <v>3.3942485817953128E-3</v>
      </c>
      <c r="H17">
        <f t="shared" si="8"/>
        <v>4.9999999999999933E-2</v>
      </c>
      <c r="I17">
        <f t="shared" si="4"/>
        <v>4.8690327569303304E-2</v>
      </c>
      <c r="J17">
        <f>0.00035*(10*K$13/((1/COS(I$3))-G$3))^(3/(1+1/(DATOS!B$6)))</f>
        <v>1.9868983812706128E-2</v>
      </c>
      <c r="L17">
        <f t="shared" si="5"/>
        <v>8.8883266979003089E-2</v>
      </c>
      <c r="M17">
        <f>0.00035*(10*N$13/((1/COS(I$3))-G$3))^(3/(1+1/(DATOS!E$6)))</f>
        <v>6.0061923222405923E-2</v>
      </c>
    </row>
    <row r="18" spans="1:13">
      <c r="A18">
        <f t="shared" si="6"/>
        <v>3.7650205244683085E-2</v>
      </c>
      <c r="B18">
        <f t="shared" si="7"/>
        <v>0.625</v>
      </c>
      <c r="C18">
        <f t="shared" si="1"/>
        <v>3.7650205244683085E-2</v>
      </c>
      <c r="D18">
        <f t="shared" si="2"/>
        <v>0</v>
      </c>
      <c r="F18">
        <f t="shared" si="3"/>
        <v>4.1044453826478401E-2</v>
      </c>
      <c r="G18">
        <f>0.00035*(10*H$13/((1/COS(I$3))-G$3))^(3/(1+1/(DATOS!E$6)))</f>
        <v>3.3942485817953128E-3</v>
      </c>
      <c r="H18">
        <f t="shared" si="8"/>
        <v>4.9999999999999933E-2</v>
      </c>
      <c r="I18">
        <f t="shared" si="4"/>
        <v>5.7519189057389217E-2</v>
      </c>
      <c r="J18">
        <f>0.00035*(10*K$13/((1/COS(I$3))-G$3))^(3/(1+1/(DATOS!B$6)))</f>
        <v>1.9868983812706128E-2</v>
      </c>
      <c r="L18">
        <f t="shared" si="5"/>
        <v>9.7712128467089016E-2</v>
      </c>
      <c r="M18">
        <f>0.00035*(10*N$13/((1/COS(I$3))-G$3))^(3/(1+1/(DATOS!E$6)))</f>
        <v>6.0061923222405923E-2</v>
      </c>
    </row>
    <row r="19" spans="1:13">
      <c r="A19">
        <f t="shared" si="6"/>
        <v>4.8441035952343642E-2</v>
      </c>
      <c r="B19">
        <f t="shared" si="7"/>
        <v>0.75</v>
      </c>
      <c r="C19">
        <f t="shared" si="1"/>
        <v>4.8441035952343642E-2</v>
      </c>
      <c r="D19">
        <f t="shared" si="2"/>
        <v>0</v>
      </c>
      <c r="F19">
        <f t="shared" si="3"/>
        <v>5.1835284534138958E-2</v>
      </c>
      <c r="G19">
        <f>0.00035*(10*H$13/((1/COS(I$3))-G$3))^(3/(1+1/(DATOS!E$6)))</f>
        <v>3.3942485817953128E-3</v>
      </c>
      <c r="H19">
        <f t="shared" si="8"/>
        <v>4.9999999999999933E-2</v>
      </c>
      <c r="I19">
        <f t="shared" si="4"/>
        <v>6.8310019765049773E-2</v>
      </c>
      <c r="J19">
        <f>0.00035*(10*K$13/((1/COS(I$3))-G$3))^(3/(1+1/(DATOS!B$6)))</f>
        <v>1.9868983812706128E-2</v>
      </c>
      <c r="L19">
        <f t="shared" si="5"/>
        <v>0.10850295917474956</v>
      </c>
      <c r="M19">
        <f>0.00035*(10*N$13/((1/COS(I$3))-G$3))^(3/(1+1/(DATOS!E$6)))</f>
        <v>6.0061923222405923E-2</v>
      </c>
    </row>
    <row r="20" spans="1:13">
      <c r="A20">
        <f t="shared" si="6"/>
        <v>6.1193835879578842E-2</v>
      </c>
      <c r="B20">
        <f t="shared" si="7"/>
        <v>0.875</v>
      </c>
      <c r="C20">
        <f t="shared" si="1"/>
        <v>6.1193835879578842E-2</v>
      </c>
      <c r="D20">
        <f t="shared" si="2"/>
        <v>0</v>
      </c>
      <c r="F20">
        <f t="shared" si="3"/>
        <v>6.4588084461374151E-2</v>
      </c>
      <c r="G20">
        <f>0.00035*(10*H$13/((1/COS(I$3))-G$3))^(3/(1+1/(DATOS!E$6)))</f>
        <v>3.3942485817953128E-3</v>
      </c>
      <c r="H20">
        <f t="shared" si="8"/>
        <v>4.9999999999999933E-2</v>
      </c>
      <c r="I20">
        <f t="shared" si="4"/>
        <v>8.1062819692284974E-2</v>
      </c>
      <c r="J20">
        <f>0.00035*(10*K$13/((1/COS(I$3))-G$3))^(3/(1+1/(DATOS!B$6)))</f>
        <v>1.9868983812706128E-2</v>
      </c>
      <c r="L20">
        <f t="shared" si="5"/>
        <v>0.12125575910198477</v>
      </c>
      <c r="M20">
        <f>0.00035*(10*N$13/((1/COS(I$3))-G$3))^(3/(1+1/(DATOS!E$6)))</f>
        <v>6.0061923222405923E-2</v>
      </c>
    </row>
    <row r="21" spans="1:13">
      <c r="A21">
        <f t="shared" si="6"/>
        <v>7.5908605026388687E-2</v>
      </c>
      <c r="B21">
        <f t="shared" si="7"/>
        <v>1</v>
      </c>
      <c r="C21">
        <f t="shared" si="1"/>
        <v>7.5908605026388687E-2</v>
      </c>
      <c r="D21">
        <f t="shared" si="2"/>
        <v>0</v>
      </c>
      <c r="F21">
        <f t="shared" si="3"/>
        <v>7.9302853608183996E-2</v>
      </c>
      <c r="G21">
        <f>0.00035*(10*H$13/((1/COS(I$3))-G$3))^(3/(1+1/(DATOS!E$6)))</f>
        <v>3.3942485817953128E-3</v>
      </c>
      <c r="H21">
        <f t="shared" si="8"/>
        <v>4.9999999999999933E-2</v>
      </c>
      <c r="I21">
        <f t="shared" si="4"/>
        <v>9.5777588839094818E-2</v>
      </c>
      <c r="J21">
        <f>0.00035*(10*K$13/((1/COS(I$3))-G$3))^(3/(1+1/(DATOS!B$6)))</f>
        <v>1.9868983812706128E-2</v>
      </c>
      <c r="L21">
        <f t="shared" si="5"/>
        <v>0.1359705282487946</v>
      </c>
      <c r="M21">
        <f>0.00035*(10*N$13/((1/COS(I$3))-G$3))^(3/(1+1/(DATOS!E$6)))</f>
        <v>6.0061923222405923E-2</v>
      </c>
    </row>
    <row r="22" spans="1:13">
      <c r="A22">
        <f t="shared" si="6"/>
        <v>9.2585343392773189E-2</v>
      </c>
      <c r="B22">
        <f t="shared" si="7"/>
        <v>1.125</v>
      </c>
      <c r="C22">
        <f t="shared" si="1"/>
        <v>9.2585343392773189E-2</v>
      </c>
      <c r="D22">
        <f t="shared" si="2"/>
        <v>0</v>
      </c>
      <c r="F22">
        <f t="shared" si="3"/>
        <v>9.5979591974568498E-2</v>
      </c>
      <c r="G22">
        <f>0.00035*(10*H$13/((1/COS(I$3))-G$3))^(3/(1+1/(DATOS!E$6)))</f>
        <v>3.3942485817953128E-3</v>
      </c>
      <c r="H22">
        <f t="shared" si="8"/>
        <v>4.9999999999999933E-2</v>
      </c>
      <c r="I22">
        <f t="shared" si="4"/>
        <v>0.11245432720547932</v>
      </c>
      <c r="J22">
        <f>0.00035*(10*K$13/((1/COS(I$3))-G$3))^(3/(1+1/(DATOS!B$6)))</f>
        <v>1.9868983812706128E-2</v>
      </c>
      <c r="L22">
        <f t="shared" si="5"/>
        <v>0.15264726661517911</v>
      </c>
      <c r="M22">
        <f>0.00035*(10*N$13/((1/COS(I$3))-G$3))^(3/(1+1/(DATOS!E$6)))</f>
        <v>6.0061923222405923E-2</v>
      </c>
    </row>
    <row r="23" spans="1:13">
      <c r="A23">
        <f t="shared" si="6"/>
        <v>0.11122405097873234</v>
      </c>
      <c r="B23">
        <f t="shared" si="7"/>
        <v>1.25</v>
      </c>
      <c r="C23">
        <f t="shared" si="1"/>
        <v>0.11122405097873234</v>
      </c>
      <c r="D23">
        <f t="shared" si="2"/>
        <v>0</v>
      </c>
      <c r="F23">
        <f t="shared" si="3"/>
        <v>0.11461829956052765</v>
      </c>
      <c r="G23">
        <f>0.00035*(10*H$13/((1/COS(I$3))-G$3))^(3/(1+1/(DATOS!E$6)))</f>
        <v>3.3942485817953128E-3</v>
      </c>
      <c r="H23">
        <f t="shared" si="8"/>
        <v>4.9999999999999933E-2</v>
      </c>
      <c r="I23">
        <f t="shared" si="4"/>
        <v>0.13109303479143847</v>
      </c>
      <c r="J23">
        <f>0.00035*(10*K$13/((1/COS(I$3))-G$3))^(3/(1+1/(DATOS!B$6)))</f>
        <v>1.9868983812706128E-2</v>
      </c>
      <c r="L23">
        <f t="shared" si="5"/>
        <v>0.17128597420113825</v>
      </c>
      <c r="M23">
        <f>0.00035*(10*N$13/((1/COS(I$3))-G$3))^(3/(1+1/(DATOS!E$6)))</f>
        <v>6.0061923222405923E-2</v>
      </c>
    </row>
    <row r="24" spans="1:13">
      <c r="A24">
        <f t="shared" si="6"/>
        <v>0.13182472778426613</v>
      </c>
      <c r="B24">
        <f t="shared" si="7"/>
        <v>1.375</v>
      </c>
      <c r="C24">
        <f t="shared" si="1"/>
        <v>0.13182472778426613</v>
      </c>
      <c r="D24">
        <f t="shared" si="2"/>
        <v>0</v>
      </c>
      <c r="F24">
        <f t="shared" si="3"/>
        <v>0.13521897636606145</v>
      </c>
      <c r="G24">
        <f>0.00035*(10*H$13/((1/COS(I$3))-G$3))^(3/(1+1/(DATOS!E$6)))</f>
        <v>3.3942485817953128E-3</v>
      </c>
      <c r="H24">
        <f t="shared" si="8"/>
        <v>4.9999999999999933E-2</v>
      </c>
      <c r="I24">
        <f t="shared" si="4"/>
        <v>0.15169371159697226</v>
      </c>
      <c r="J24">
        <f>0.00035*(10*K$13/((1/COS(I$3))-G$3))^(3/(1+1/(DATOS!B$6)))</f>
        <v>1.9868983812706128E-2</v>
      </c>
      <c r="L24">
        <f t="shared" si="5"/>
        <v>0.19188665100667204</v>
      </c>
      <c r="M24">
        <f>0.00035*(10*N$13/((1/COS(I$3))-G$3))^(3/(1+1/(DATOS!E$6)))</f>
        <v>6.0061923222405923E-2</v>
      </c>
    </row>
    <row r="25" spans="1:13">
      <c r="A25">
        <f t="shared" si="6"/>
        <v>0.15438737380937456</v>
      </c>
      <c r="B25">
        <f t="shared" si="7"/>
        <v>1.5</v>
      </c>
      <c r="C25">
        <f t="shared" si="1"/>
        <v>0.15438737380937456</v>
      </c>
      <c r="D25">
        <f t="shared" si="2"/>
        <v>0</v>
      </c>
      <c r="F25">
        <f t="shared" si="3"/>
        <v>0.15778162239116988</v>
      </c>
      <c r="G25">
        <f>0.00035*(10*H$13/((1/COS(I$3))-G$3))^(3/(1+1/(DATOS!E$6)))</f>
        <v>3.3942485817953128E-3</v>
      </c>
      <c r="H25">
        <f t="shared" si="8"/>
        <v>4.9999999999999933E-2</v>
      </c>
      <c r="I25">
        <f t="shared" si="4"/>
        <v>0.17425635762208069</v>
      </c>
      <c r="J25">
        <f>0.00035*(10*K$13/((1/COS(I$3))-G$3))^(3/(1+1/(DATOS!B$6)))</f>
        <v>1.9868983812706128E-2</v>
      </c>
      <c r="L25">
        <f t="shared" si="5"/>
        <v>0.21444929703178048</v>
      </c>
      <c r="M25">
        <f>0.00035*(10*N$13/((1/COS(I$3))-G$3))^(3/(1+1/(DATOS!E$6)))</f>
        <v>6.0061923222405923E-2</v>
      </c>
    </row>
    <row r="43" spans="1:9">
      <c r="A43" s="117" t="s">
        <v>108</v>
      </c>
      <c r="B43" s="117" t="s">
        <v>109</v>
      </c>
      <c r="C43" s="117" t="s">
        <v>110</v>
      </c>
      <c r="D43" s="117" t="s">
        <v>111</v>
      </c>
      <c r="E43" s="117" t="s">
        <v>112</v>
      </c>
      <c r="F43" s="117" t="s">
        <v>113</v>
      </c>
      <c r="G43" s="117" t="s">
        <v>114</v>
      </c>
      <c r="H43" s="117" t="s">
        <v>115</v>
      </c>
      <c r="I43" s="117" t="s">
        <v>116</v>
      </c>
    </row>
    <row r="44" spans="1:9">
      <c r="A44" s="122" t="s">
        <v>117</v>
      </c>
      <c r="B44">
        <f>((2*9.81*DATOS!$M$12)/(DATOS!B24*DATOS!$B$5*1.2086))^0.5</f>
        <v>84.68745867056424</v>
      </c>
      <c r="C44">
        <f>((2*9.81*DATOS!$M$12)/(DATOS!C24*DATOS!$B$5*1.2086))^0.5</f>
        <v>91.1163793525903</v>
      </c>
      <c r="D44">
        <f>((2*9.81*DATOS!$M$12)/(DATOS!D24*DATOS!$B$5*1.2086))^0.5</f>
        <v>98.289127749572387</v>
      </c>
      <c r="E44">
        <f>((2*9.81*DATOS!$M$12)/(DATOS!E24*DATOS!$B$5*1.2086))^0.5</f>
        <v>106.32362402983783</v>
      </c>
      <c r="F44">
        <f>((2*9.81*DATOS!$M$12)/(DATOS!F24*DATOS!$B$5*1.2086))^0.5</f>
        <v>115.36193488591934</v>
      </c>
      <c r="G44">
        <f>((2*9.81*DATOS!$M$12)/(DATOS!G24*DATOS!$B$5*1.2086))^0.5</f>
        <v>125.57642699676501</v>
      </c>
      <c r="H44">
        <f>((2*9.81*DATOS!$M$12)/(DATOS!H24*DATOS!$B$5*1.2086))^0.5</f>
        <v>137.177823336834</v>
      </c>
      <c r="I44">
        <f>((2*9.81*DATOS!$M$12)/(DATOS!I24*DATOS!$B$5*1.2086))^0.5</f>
        <v>150.42586359789934</v>
      </c>
    </row>
    <row r="45" spans="1:9">
      <c r="A45" s="122" t="s">
        <v>118</v>
      </c>
      <c r="B45">
        <f>((2*9.81*DATOS!$M$13)/(DATOS!B24*DATOS!$B$5*1.2086))^0.5</f>
        <v>79.5889426569817</v>
      </c>
      <c r="C45">
        <f>((2*9.81*DATOS!$M$13)/(DATOS!C24*DATOS!$B$5*1.2086))^0.5</f>
        <v>85.630817186461513</v>
      </c>
      <c r="D45">
        <f>((2*9.81*DATOS!$M$13)/(DATOS!D24*DATOS!$B$5*1.2086))^0.5</f>
        <v>92.371738095200371</v>
      </c>
      <c r="E45">
        <f>((2*9.81*DATOS!$M$13)/(DATOS!E24*DATOS!$B$5*1.2086))^0.5</f>
        <v>99.922526296500408</v>
      </c>
      <c r="F45">
        <f>((2*9.81*DATOS!$M$13)/(DATOS!F24*DATOS!$B$5*1.2086))^0.5</f>
        <v>108.41669551273498</v>
      </c>
      <c r="G45">
        <f>((2*9.81*DATOS!$M$13)/(DATOS!G24*DATOS!$B$5*1.2086))^0.5</f>
        <v>118.01623527508303</v>
      </c>
      <c r="H45">
        <f>((2*9.81*DATOS!$M$13)/(DATOS!H24*DATOS!$B$5*1.2086))^0.5</f>
        <v>128.91918221132877</v>
      </c>
      <c r="I45">
        <f>((2*9.81*DATOS!$M$13)/(DATOS!I24*DATOS!$B$5*1.2086))^0.5</f>
        <v>141.36963866860589</v>
      </c>
    </row>
    <row r="46" spans="1:9">
      <c r="A46" s="122" t="s">
        <v>119</v>
      </c>
      <c r="B46">
        <f>((2*9.81*DATOS!$M$14)/(DATOS!B24*DATOS!$B$5*1.2086))^0.5</f>
        <v>73.370877201697837</v>
      </c>
      <c r="C46">
        <f>((2*9.81*DATOS!$M$14)/(DATOS!C24*DATOS!$B$5*1.2086))^0.5</f>
        <v>78.940716671498137</v>
      </c>
      <c r="D46">
        <f>((2*9.81*DATOS!$M$14)/(DATOS!D24*DATOS!$B$5*1.2086))^0.5</f>
        <v>85.154987947258704</v>
      </c>
      <c r="E46">
        <f>((2*9.81*DATOS!$M$14)/(DATOS!E24*DATOS!$B$5*1.2086))^0.5</f>
        <v>92.115853808755531</v>
      </c>
      <c r="F46">
        <f>((2*9.81*DATOS!$M$14)/(DATOS!F24*DATOS!$B$5*1.2086))^0.5</f>
        <v>99.946396918001369</v>
      </c>
      <c r="G46">
        <f>((2*9.81*DATOS!$M$14)/(DATOS!G24*DATOS!$B$5*1.2086))^0.5</f>
        <v>108.79595100909681</v>
      </c>
      <c r="H46">
        <f>((2*9.81*DATOS!$M$14)/(DATOS!H24*DATOS!$B$5*1.2086))^0.5</f>
        <v>118.84708065211315</v>
      </c>
      <c r="I46">
        <f>((2*9.81*DATOS!$M$14)/(DATOS!I24*DATOS!$B$5*1.2086))^0.5</f>
        <v>130.32481714836285</v>
      </c>
    </row>
    <row r="49" spans="10:11">
      <c r="J49">
        <f>1.2086/COS(35*(3.14/180))</f>
        <v>1.47510837308823</v>
      </c>
      <c r="K49" t="s">
        <v>120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97"/>
  <sheetViews>
    <sheetView topLeftCell="A77" zoomScale="70" zoomScaleNormal="70" workbookViewId="0">
      <selection activeCell="V112" sqref="V112"/>
    </sheetView>
  </sheetViews>
  <sheetFormatPr baseColWidth="10" defaultColWidth="14.42578125" defaultRowHeight="15" customHeight="1"/>
  <cols>
    <col min="1" max="6" width="14.42578125" customWidth="1"/>
    <col min="7" max="7" width="18.140625" customWidth="1"/>
    <col min="8" max="9" width="14.42578125" customWidth="1"/>
    <col min="10" max="10" width="3.42578125" customWidth="1"/>
    <col min="11" max="18" width="14.42578125" customWidth="1"/>
  </cols>
  <sheetData>
    <row r="1" spans="1:9">
      <c r="C1" s="39"/>
      <c r="D1" s="39"/>
      <c r="E1" s="39"/>
      <c r="F1" s="39"/>
      <c r="G1" s="39"/>
      <c r="H1" s="39"/>
      <c r="I1" s="39"/>
    </row>
    <row r="3" spans="1:9">
      <c r="B3">
        <v>0</v>
      </c>
      <c r="C3">
        <v>1500</v>
      </c>
      <c r="D3">
        <v>3000</v>
      </c>
      <c r="E3">
        <v>4500</v>
      </c>
      <c r="F3">
        <v>6000</v>
      </c>
      <c r="G3">
        <v>7500</v>
      </c>
      <c r="H3">
        <v>9000</v>
      </c>
      <c r="I3">
        <v>10500</v>
      </c>
    </row>
    <row r="4" spans="1:9">
      <c r="B4" s="40">
        <f t="shared" ref="B4:I4" si="0">(1.05-23.66*10^-6*B$3)^4.256</f>
        <v>1.2307834756847218</v>
      </c>
      <c r="C4" s="40">
        <f t="shared" si="0"/>
        <v>1.0632293336293623</v>
      </c>
      <c r="D4" s="40">
        <f t="shared" si="0"/>
        <v>0.91371108984015903</v>
      </c>
      <c r="E4" s="40">
        <f t="shared" si="0"/>
        <v>0.78083687721425932</v>
      </c>
      <c r="F4" s="40">
        <f t="shared" si="0"/>
        <v>0.66327678178020855</v>
      </c>
      <c r="G4" s="40">
        <f t="shared" si="0"/>
        <v>0.55976225964731741</v>
      </c>
      <c r="H4" s="40">
        <f t="shared" si="0"/>
        <v>0.46908553738870118</v>
      </c>
      <c r="I4" s="40">
        <f t="shared" si="0"/>
        <v>0.39009899471001425</v>
      </c>
    </row>
    <row r="6" spans="1:9">
      <c r="B6" s="39" t="s">
        <v>49</v>
      </c>
      <c r="C6" s="39" t="s">
        <v>50</v>
      </c>
      <c r="D6" s="39" t="s">
        <v>51</v>
      </c>
      <c r="E6" s="41" t="s">
        <v>61</v>
      </c>
      <c r="F6" s="41" t="s">
        <v>62</v>
      </c>
      <c r="G6" s="41" t="s">
        <v>63</v>
      </c>
    </row>
    <row r="7" spans="1:9">
      <c r="A7" s="39" t="s">
        <v>41</v>
      </c>
      <c r="B7" s="41">
        <f>(1.05-23.66*10^-6*B3)^4.256</f>
        <v>1.2307834756847218</v>
      </c>
      <c r="C7">
        <f>288.15-6.5*10^-3*B3</f>
        <v>288.14999999999998</v>
      </c>
      <c r="D7">
        <v>9.81</v>
      </c>
      <c r="E7" s="42">
        <f t="shared" ref="E7:E14" si="1">C7/C$7</f>
        <v>1</v>
      </c>
      <c r="F7">
        <f t="shared" ref="F7:F14" si="2">B7*287*C7</f>
        <v>101784.62419482459</v>
      </c>
      <c r="G7">
        <f t="shared" ref="G7:G14" si="3">F7/F$7</f>
        <v>1</v>
      </c>
    </row>
    <row r="8" spans="1:9">
      <c r="A8" s="39" t="s">
        <v>42</v>
      </c>
      <c r="B8" s="41">
        <f>(1.05-23.66*10^-6*C$3)^4.256</f>
        <v>1.0632293336293623</v>
      </c>
      <c r="C8">
        <f>288.15-6.5*10^-3*C3</f>
        <v>278.39999999999998</v>
      </c>
      <c r="D8">
        <v>9.81</v>
      </c>
      <c r="E8" s="42">
        <f t="shared" si="1"/>
        <v>0.96616345653305569</v>
      </c>
      <c r="F8">
        <f t="shared" si="2"/>
        <v>84952.874340452952</v>
      </c>
      <c r="G8">
        <f t="shared" si="3"/>
        <v>0.83463366900923852</v>
      </c>
    </row>
    <row r="9" spans="1:9">
      <c r="A9" s="39" t="s">
        <v>43</v>
      </c>
      <c r="B9" s="41">
        <f>(1.05-23.66*10^-6*D$3)^4.256</f>
        <v>0.91371108984015903</v>
      </c>
      <c r="C9">
        <f>288.15-6.5*10^-3*D3</f>
        <v>268.64999999999998</v>
      </c>
      <c r="D9">
        <v>9.81</v>
      </c>
      <c r="E9" s="42">
        <f t="shared" si="1"/>
        <v>0.93232691306611137</v>
      </c>
      <c r="F9">
        <f t="shared" si="2"/>
        <v>70449.454989955353</v>
      </c>
      <c r="G9">
        <f t="shared" si="3"/>
        <v>0.69214240900579438</v>
      </c>
    </row>
    <row r="10" spans="1:9">
      <c r="A10" s="39" t="s">
        <v>44</v>
      </c>
      <c r="B10" s="41">
        <f>(1.05-23.66*10^-6*E$3)^4.256</f>
        <v>0.78083687721425932</v>
      </c>
      <c r="C10">
        <f>288.15-6.5*10^-3*E3</f>
        <v>258.89999999999998</v>
      </c>
      <c r="D10">
        <v>9.81</v>
      </c>
      <c r="E10" s="42">
        <f t="shared" si="1"/>
        <v>0.89849036959916706</v>
      </c>
      <c r="F10">
        <f t="shared" si="2"/>
        <v>58019.537575591487</v>
      </c>
      <c r="G10">
        <f t="shared" si="3"/>
        <v>0.57002261426575651</v>
      </c>
    </row>
    <row r="11" spans="1:9">
      <c r="A11" s="39" t="s">
        <v>45</v>
      </c>
      <c r="B11" s="41">
        <f>(1.05-23.66*10^-6*F$3)^4.256</f>
        <v>0.66327678178020855</v>
      </c>
      <c r="C11">
        <f>288.15-6.5*10^-3*F3</f>
        <v>249.14999999999998</v>
      </c>
      <c r="D11">
        <v>9.81</v>
      </c>
      <c r="E11" s="42">
        <f t="shared" si="1"/>
        <v>0.86465382613222275</v>
      </c>
      <c r="F11">
        <f t="shared" si="2"/>
        <v>47428.302721814674</v>
      </c>
      <c r="G11">
        <f t="shared" si="3"/>
        <v>0.46596726270789973</v>
      </c>
    </row>
    <row r="12" spans="1:9">
      <c r="A12" s="39" t="s">
        <v>46</v>
      </c>
      <c r="B12" s="41">
        <f>(1.05-23.66*10^-6*G$3)^4.256</f>
        <v>0.55976225964731741</v>
      </c>
      <c r="C12">
        <f>288.15-6.5*10^-3*G3</f>
        <v>239.39999999999998</v>
      </c>
      <c r="D12">
        <v>9.81</v>
      </c>
      <c r="E12" s="42">
        <f t="shared" si="1"/>
        <v>0.83081728266527843</v>
      </c>
      <c r="F12">
        <f t="shared" si="2"/>
        <v>38460.033383395952</v>
      </c>
      <c r="G12">
        <f t="shared" si="3"/>
        <v>0.377857006278081</v>
      </c>
    </row>
    <row r="13" spans="1:9">
      <c r="A13" s="39" t="s">
        <v>47</v>
      </c>
      <c r="B13" s="41">
        <f>(1.05-23.66*10^-6*H$3)^4.256</f>
        <v>0.46908553738870118</v>
      </c>
      <c r="C13">
        <f>288.15-6.5*10^-3*H3</f>
        <v>229.64999999999998</v>
      </c>
      <c r="D13">
        <v>9.81</v>
      </c>
      <c r="E13" s="42">
        <f t="shared" si="1"/>
        <v>0.79698073919833423</v>
      </c>
      <c r="F13">
        <f t="shared" si="2"/>
        <v>30917.216680797465</v>
      </c>
      <c r="G13">
        <f t="shared" si="3"/>
        <v>0.30375134678121163</v>
      </c>
    </row>
    <row r="14" spans="1:9">
      <c r="A14" s="39" t="s">
        <v>48</v>
      </c>
      <c r="B14" s="41">
        <f>(1.05-23.66*10^-6*I$3)^4.256</f>
        <v>0.39009899471001425</v>
      </c>
      <c r="C14">
        <f>288.15-6.5*10^-3*I3</f>
        <v>219.89999999999998</v>
      </c>
      <c r="D14">
        <v>9.81</v>
      </c>
      <c r="E14" s="42">
        <f t="shared" si="1"/>
        <v>0.76314419573138992</v>
      </c>
      <c r="F14">
        <f t="shared" si="2"/>
        <v>24619.65468484212</v>
      </c>
      <c r="G14">
        <f t="shared" si="3"/>
        <v>0.24187989963708043</v>
      </c>
    </row>
    <row r="15" spans="1:9">
      <c r="E15" s="42"/>
    </row>
    <row r="16" spans="1:9">
      <c r="A16" s="130" t="s">
        <v>169</v>
      </c>
      <c r="B16">
        <v>0.85</v>
      </c>
      <c r="E16" s="42"/>
    </row>
    <row r="17" spans="1:60">
      <c r="E17" s="42"/>
    </row>
    <row r="18" spans="1:60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4"/>
      <c r="L18" s="44"/>
      <c r="M18" s="44"/>
      <c r="N18" s="44"/>
      <c r="O18" s="44" t="s">
        <v>64</v>
      </c>
      <c r="P18" s="44"/>
      <c r="Q18" s="48"/>
      <c r="R18" s="48"/>
      <c r="S18" s="48"/>
      <c r="T18" s="48"/>
      <c r="U18" s="48" t="s">
        <v>79</v>
      </c>
      <c r="V18" s="48"/>
      <c r="W18" s="51"/>
      <c r="X18" s="50"/>
      <c r="Y18" s="50"/>
      <c r="Z18" s="50"/>
      <c r="AA18" s="50" t="s">
        <v>81</v>
      </c>
      <c r="AB18" s="50"/>
      <c r="AC18" s="54"/>
      <c r="AD18" s="53"/>
      <c r="AE18" s="53"/>
      <c r="AF18" s="53"/>
      <c r="AG18" s="53" t="s">
        <v>82</v>
      </c>
      <c r="AH18" s="53"/>
      <c r="AI18" s="55"/>
      <c r="AJ18" s="55"/>
      <c r="AK18" s="55"/>
      <c r="AL18" s="55"/>
      <c r="AM18" s="55" t="s">
        <v>83</v>
      </c>
      <c r="AN18" s="55"/>
      <c r="AO18" s="56"/>
      <c r="AP18" s="56"/>
      <c r="AQ18" s="56"/>
      <c r="AR18" s="56"/>
      <c r="AS18" s="56" t="s">
        <v>84</v>
      </c>
      <c r="AT18" s="56"/>
      <c r="AU18" s="57"/>
      <c r="AV18" s="57"/>
      <c r="AW18" s="57"/>
      <c r="AX18" s="57"/>
      <c r="AY18" s="57" t="s">
        <v>85</v>
      </c>
      <c r="AZ18" s="57"/>
      <c r="BA18" s="58"/>
      <c r="BB18" s="58"/>
      <c r="BC18" s="58"/>
      <c r="BD18" s="58"/>
      <c r="BE18" s="59" t="s">
        <v>86</v>
      </c>
      <c r="BF18" s="58"/>
      <c r="BG18" s="58"/>
      <c r="BH18" s="58"/>
    </row>
    <row r="19" spans="1:60" ht="15" customHeight="1">
      <c r="A19" s="41" t="s">
        <v>52</v>
      </c>
      <c r="B19" s="41" t="s">
        <v>53</v>
      </c>
      <c r="C19" s="41" t="s">
        <v>54</v>
      </c>
      <c r="D19" s="41" t="s">
        <v>55</v>
      </c>
      <c r="E19" s="41" t="s">
        <v>56</v>
      </c>
      <c r="F19" s="41" t="s">
        <v>57</v>
      </c>
      <c r="G19" s="41" t="s">
        <v>58</v>
      </c>
      <c r="H19" s="41" t="s">
        <v>59</v>
      </c>
      <c r="I19" s="41" t="s">
        <v>60</v>
      </c>
      <c r="J19" s="46"/>
      <c r="K19" s="41" t="s">
        <v>72</v>
      </c>
      <c r="L19" s="41" t="s">
        <v>73</v>
      </c>
      <c r="M19" s="41" t="s">
        <v>74</v>
      </c>
      <c r="N19" s="41" t="s">
        <v>75</v>
      </c>
      <c r="O19" s="41" t="s">
        <v>76</v>
      </c>
      <c r="P19" s="45" t="s">
        <v>153</v>
      </c>
      <c r="Q19" s="66" t="s">
        <v>72</v>
      </c>
      <c r="R19" s="41" t="s">
        <v>73</v>
      </c>
      <c r="S19" s="41" t="s">
        <v>74</v>
      </c>
      <c r="T19" s="41" t="s">
        <v>75</v>
      </c>
      <c r="U19" s="41" t="s">
        <v>76</v>
      </c>
      <c r="V19" s="45" t="s">
        <v>153</v>
      </c>
      <c r="W19" s="41" t="s">
        <v>72</v>
      </c>
      <c r="X19" s="41" t="s">
        <v>73</v>
      </c>
      <c r="Y19" s="41" t="s">
        <v>74</v>
      </c>
      <c r="Z19" s="41" t="s">
        <v>75</v>
      </c>
      <c r="AA19" s="41" t="s">
        <v>76</v>
      </c>
      <c r="AB19" s="45" t="s">
        <v>153</v>
      </c>
      <c r="AC19" t="s">
        <v>72</v>
      </c>
      <c r="AD19" t="s">
        <v>73</v>
      </c>
      <c r="AE19" t="s">
        <v>74</v>
      </c>
      <c r="AF19" t="s">
        <v>75</v>
      </c>
      <c r="AG19" t="s">
        <v>76</v>
      </c>
      <c r="AH19" s="11" t="s">
        <v>121</v>
      </c>
      <c r="AI19" t="s">
        <v>72</v>
      </c>
      <c r="AJ19" t="s">
        <v>73</v>
      </c>
      <c r="AK19" t="s">
        <v>74</v>
      </c>
      <c r="AL19" t="s">
        <v>75</v>
      </c>
      <c r="AM19" t="s">
        <v>76</v>
      </c>
      <c r="AN19" t="s">
        <v>121</v>
      </c>
      <c r="AO19" t="s">
        <v>72</v>
      </c>
      <c r="AP19" t="s">
        <v>73</v>
      </c>
      <c r="AQ19" t="s">
        <v>74</v>
      </c>
      <c r="AR19" t="s">
        <v>75</v>
      </c>
      <c r="AS19" t="s">
        <v>76</v>
      </c>
      <c r="AT19" t="s">
        <v>152</v>
      </c>
      <c r="AU19" s="11" t="s">
        <v>72</v>
      </c>
      <c r="AV19" s="11" t="s">
        <v>73</v>
      </c>
      <c r="AW19" s="11" t="s">
        <v>74</v>
      </c>
      <c r="AX19" s="11" t="s">
        <v>75</v>
      </c>
      <c r="AY19" s="11" t="s">
        <v>76</v>
      </c>
      <c r="AZ19" t="s">
        <v>123</v>
      </c>
      <c r="BA19" s="11" t="s">
        <v>72</v>
      </c>
      <c r="BB19" t="s">
        <v>73</v>
      </c>
      <c r="BC19" t="s">
        <v>74</v>
      </c>
      <c r="BD19" s="11" t="s">
        <v>75</v>
      </c>
      <c r="BE19" t="s">
        <v>76</v>
      </c>
      <c r="BF19" t="s">
        <v>121</v>
      </c>
      <c r="BG19" t="s">
        <v>122</v>
      </c>
    </row>
    <row r="20" spans="1:60" ht="15" customHeight="1">
      <c r="A20" s="41">
        <v>20</v>
      </c>
      <c r="B20">
        <f>A20/SQRT(1.41*287.05*C$7)</f>
        <v>5.8564218430171157E-2</v>
      </c>
      <c r="C20">
        <f t="shared" ref="C20:C83" si="4">$A20/SQRT(1.41*287.05*C$8)</f>
        <v>5.9580898504096855E-2</v>
      </c>
      <c r="D20">
        <f t="shared" ref="D20:D83" si="5">$A20/SQRT(1.41*287.05*C$9)</f>
        <v>6.0652435028524965E-2</v>
      </c>
      <c r="E20">
        <f t="shared" ref="E20:E83" si="6">$A20/SQRT(1.41*287.05*$C$10)</f>
        <v>6.1783945468758733E-2</v>
      </c>
      <c r="F20">
        <f t="shared" ref="F20:F83" si="7">$A20/SQRT(1.41*287.05*$C$11)</f>
        <v>6.2981241599812374E-2</v>
      </c>
      <c r="G20">
        <f t="shared" ref="G20:G83" si="8">$A20/SQRT(1.41*287.05*$C$12)</f>
        <v>6.4250955513637353E-2</v>
      </c>
      <c r="H20">
        <f t="shared" ref="H20:H83" si="9">$A20/SQRT(1.41*287.05*$C$13)</f>
        <v>6.5600694753488883E-2</v>
      </c>
      <c r="I20">
        <f t="shared" ref="I20:I83" si="10">$A20/SQRT(1.41*287.05*$C$14)</f>
        <v>6.703923488221479E-2</v>
      </c>
      <c r="J20" s="46"/>
      <c r="K20">
        <f t="shared" ref="K20:K41" si="11">E$7*(1+(1.41-1)*0.5*B20^2)</f>
        <v>1.000703102374469</v>
      </c>
      <c r="L20">
        <f t="shared" ref="L20:L41" si="12">288.15*K20</f>
        <v>288.35259894920324</v>
      </c>
      <c r="M20">
        <f t="shared" ref="M20:M41" si="13">G$7*(1+(1.41-1)*0.5*B20^2)^(1.41/0.41)</f>
        <v>1.0024200601966702</v>
      </c>
      <c r="N20">
        <f t="shared" ref="N20:N41" si="14">F$7*M20</f>
        <v>102030.94911247151</v>
      </c>
      <c r="O20">
        <f t="shared" ref="O20:O41" si="15">IF(K20&gt;1,M20*(1-0.49*(SQRT(B20))-3*(K20-1)/(1.5+B20)), M20*(1-0.49*(SQRT(B20))))</f>
        <v>0.88219622700775613</v>
      </c>
      <c r="P20">
        <f>DATOS!$J$12*O20*$B$16</f>
        <v>400275.57966900425</v>
      </c>
      <c r="Q20" s="66">
        <f t="shared" ref="Q20:Q41" si="16">E$8*(1+(1.41-1)*0.5*C20^2)</f>
        <v>0.96686655890752482</v>
      </c>
      <c r="S20">
        <f t="shared" ref="S20:S41" si="17">G$8*(1+(1.41-1)*0.5*C20^2)^(1.41/0.41)</f>
        <v>0.83672433426004</v>
      </c>
      <c r="U20">
        <f t="shared" ref="U20:U41" si="18">IF(Q20&gt;1,S20*(1-0.49*(SQRT(C20))-3*(Q20-1)/(1.5+C20)), S20*(1-0.49*(SQRT(C20))))</f>
        <v>0.73664785832826774</v>
      </c>
      <c r="V20">
        <f>DATOS!$J$12*U20*$B$16</f>
        <v>334236.46517328115</v>
      </c>
      <c r="W20" s="49">
        <f t="shared" ref="W20:W41" si="19">E$9*(1+(1.41-1)*0.5*D20^2)</f>
        <v>0.93303001544058028</v>
      </c>
      <c r="Y20" s="52">
        <f t="shared" ref="Y20:Y41" si="20">G$9*(1+(1.41-1)*0.5*D20^2)^(1.41/0.41)</f>
        <v>0.69393912913045452</v>
      </c>
      <c r="AA20">
        <f t="shared" ref="AA20:AA41" si="21">IF(W20&gt;1,Y20*(1-0.49*(SQRT(D20))-3*(W20-1)/(1.5+D20)), Y20*(1-0.49*(SQRT(D20))))</f>
        <v>0.61019746685508724</v>
      </c>
      <c r="AB20">
        <f>DATOS!$J$12*AA20*$B$16</f>
        <v>276862.60412427573</v>
      </c>
      <c r="AC20">
        <f t="shared" ref="AC20:AC41" si="22">E$10*(1+0.205*(E20)^2)</f>
        <v>0.89919347197363619</v>
      </c>
      <c r="AE20">
        <f t="shared" ref="AE20:AE41" si="23">G$10*(1+(0.205)*(E20)^2)^(1.41/0.41)</f>
        <v>0.57155810390621131</v>
      </c>
      <c r="AG20">
        <f t="shared" ref="AG20:AG41" si="24">IF(AC20&gt;1,AE20*(1-0.49*(SQRT(E20))-3*(AC20-1)/(1.5+E20)), AE20*(1-0.49*(SQRT(E20))))</f>
        <v>0.50194447302542466</v>
      </c>
      <c r="AH20" s="11">
        <f>DATOS!$J$12*AG20*$B$16</f>
        <v>227745.37994044076</v>
      </c>
      <c r="AI20">
        <f t="shared" ref="AI20:AI41" si="25">E$11*(1+0.205*(F20)^2)</f>
        <v>0.86535692850669177</v>
      </c>
      <c r="AK20">
        <f t="shared" ref="AK20:AK41" si="26">G$11*(1+(0.205)*(F20)^2)^(1.41/0.41)</f>
        <v>0.46727162304758363</v>
      </c>
      <c r="AM20">
        <f t="shared" ref="AM20:AM41" si="27">IF(AI20&gt;1,AK20*(1-0.49*(SQRT(F20))-3*(AI20-1)/(1.5+F20)), AK20*(1-0.49*(SQRT(F20))))</f>
        <v>0.40981089867721027</v>
      </c>
      <c r="AN20">
        <f>DATOS!$J$12*AM20*$B$16</f>
        <v>185941.95939726426</v>
      </c>
      <c r="AO20">
        <f t="shared" ref="AO20:AO41" si="28">E$12*(1+0.205*(G20)^2)</f>
        <v>0.83152038503974746</v>
      </c>
      <c r="AQ20">
        <f t="shared" ref="AQ20:AQ41" si="29">G$12*(1+(0.205)*(G20)^2)^(1.41/0.41)</f>
        <v>0.37895784561595447</v>
      </c>
      <c r="AS20">
        <f t="shared" ref="AS20:AS41" si="30">IF(AO20&gt;1,AQ20*(1-0.49*(SQRT(G20))-3*(AO20-1)/(1.5+G20)), AQ20*(1-0.49*(SQRT(G20))))</f>
        <v>0.33188973362341445</v>
      </c>
      <c r="AT20">
        <f>DATOS!$J$12*AS20*$B$16</f>
        <v>150587.08192722261</v>
      </c>
      <c r="AU20">
        <f t="shared" ref="AU20:AU41" si="31">E$13*(1+0.205*(H20)^2)</f>
        <v>0.79768384157280325</v>
      </c>
      <c r="AW20">
        <f t="shared" ref="AW20:AW41" si="32">G$13*(1+(0.205)*(H20)^2)^(1.41/0.41)</f>
        <v>0.30467389992798166</v>
      </c>
      <c r="AY20">
        <f t="shared" ref="AY20:AY41" si="33">IF(AU20&gt;1,AW20*(1-0.49*(SQRT(H20))-3*(AU20-1)/(1.5+H20)), AW20*(1-0.49*(SQRT(H20))))</f>
        <v>0.2664367467198564</v>
      </c>
      <c r="AZ20">
        <f>DATOS!$J$12*AY20*$B$16</f>
        <v>120889.344086343</v>
      </c>
      <c r="BA20" s="11">
        <f t="shared" ref="BA20:BA51" si="34">E$14*(1+0.205*(I20)^2)</f>
        <v>0.76384729810585894</v>
      </c>
      <c r="BC20">
        <f t="shared" ref="BC20:BC51" si="35">G$14*(1+(0.205)*(I20)^2)^(1.41/0.41)</f>
        <v>0.2426471460988347</v>
      </c>
      <c r="BE20">
        <f t="shared" ref="BE20:BE51" si="36">IF(BA20&gt;1,BC20*(1-0.49*(SQRT(I20))-3*(BA20-1)/(1.5+I20)), BC20*(1-0.49*(SQRT(I20))))</f>
        <v>0.2118623846728005</v>
      </c>
      <c r="BF20">
        <f>DATOS!$J$12*BE20*$B$16</f>
        <v>96127.523830610546</v>
      </c>
      <c r="BG20">
        <f>1244000-(533784*BE20*0.75)</f>
        <v>1159183.4366448603</v>
      </c>
    </row>
    <row r="21" spans="1:60" ht="15" customHeight="1">
      <c r="A21" s="41">
        <f>A20+5</f>
        <v>25</v>
      </c>
      <c r="B21">
        <f t="shared" ref="B21:B83" si="37">A21/SQRT(1.41*287.05*C$7)</f>
        <v>7.3205273037713944E-2</v>
      </c>
      <c r="C21">
        <f t="shared" si="4"/>
        <v>7.4476123130121072E-2</v>
      </c>
      <c r="D21">
        <f t="shared" si="5"/>
        <v>7.5815543785656206E-2</v>
      </c>
      <c r="E21">
        <f t="shared" si="6"/>
        <v>7.7229931835948409E-2</v>
      </c>
      <c r="F21">
        <f t="shared" si="7"/>
        <v>7.8726551999765471E-2</v>
      </c>
      <c r="G21">
        <f t="shared" si="8"/>
        <v>8.0313694392046692E-2</v>
      </c>
      <c r="H21">
        <f t="shared" si="9"/>
        <v>8.2000868441861108E-2</v>
      </c>
      <c r="I21">
        <f t="shared" si="10"/>
        <v>8.3799043602768478E-2</v>
      </c>
      <c r="J21" s="46"/>
      <c r="K21">
        <f t="shared" si="11"/>
        <v>1.0010985974601079</v>
      </c>
      <c r="L21">
        <f t="shared" si="12"/>
        <v>288.46656085813004</v>
      </c>
      <c r="M21">
        <f t="shared" si="13"/>
        <v>1.0037831678535134</v>
      </c>
      <c r="N21">
        <f t="shared" si="14"/>
        <v>102169.69251306039</v>
      </c>
      <c r="O21">
        <f t="shared" si="15"/>
        <v>0.86860201088006239</v>
      </c>
      <c r="P21" s="128">
        <f>DATOS!$J$12*O21*$B$16</f>
        <v>394107.52705885581</v>
      </c>
      <c r="Q21" s="66">
        <f t="shared" si="16"/>
        <v>0.96726205399316367</v>
      </c>
      <c r="S21">
        <f t="shared" si="17"/>
        <v>0.83790196420139829</v>
      </c>
      <c r="U21">
        <f t="shared" si="18"/>
        <v>0.72585558697080754</v>
      </c>
      <c r="V21" s="128">
        <f>DATOS!$J$12*U21*$B$16</f>
        <v>329339.72843682423</v>
      </c>
      <c r="W21" s="49">
        <f t="shared" si="19"/>
        <v>0.93342551052621925</v>
      </c>
      <c r="Y21" s="52">
        <f t="shared" si="20"/>
        <v>0.69495123652137192</v>
      </c>
      <c r="AA21">
        <f t="shared" si="21"/>
        <v>0.60118865864775073</v>
      </c>
      <c r="AB21" s="128">
        <f>DATOS!$J$12*AA21*$B$16</f>
        <v>272775.07142245333</v>
      </c>
      <c r="AC21" s="11">
        <f t="shared" si="22"/>
        <v>0.89958896705927482</v>
      </c>
      <c r="AE21" s="11">
        <f t="shared" si="23"/>
        <v>0.57242310473424085</v>
      </c>
      <c r="AG21" s="11">
        <f t="shared" si="24"/>
        <v>0.49447491014093947</v>
      </c>
      <c r="AH21" s="11">
        <f>DATOS!$J$12*AG21*$B$16</f>
        <v>224356.24323601104</v>
      </c>
      <c r="AI21" s="11">
        <f t="shared" si="25"/>
        <v>0.86575242359233073</v>
      </c>
      <c r="AK21" s="11">
        <f t="shared" si="26"/>
        <v>0.46800646259580347</v>
      </c>
      <c r="AM21" s="11">
        <f t="shared" si="27"/>
        <v>0.40366238999579807</v>
      </c>
      <c r="AN21" s="128">
        <f>DATOS!$J$12*AM21*$B$16</f>
        <v>183152.21965319422</v>
      </c>
      <c r="AO21" s="11">
        <f t="shared" si="28"/>
        <v>0.83191588012538631</v>
      </c>
      <c r="AQ21" s="11">
        <f t="shared" si="29"/>
        <v>0.37957806629192653</v>
      </c>
      <c r="AS21" s="11">
        <f t="shared" si="30"/>
        <v>0.3268681907339025</v>
      </c>
      <c r="AT21" s="128">
        <f>DATOS!$J$12*AS21*$B$16</f>
        <v>148308.67613790097</v>
      </c>
      <c r="AU21" s="11">
        <f t="shared" si="31"/>
        <v>0.79807933665844211</v>
      </c>
      <c r="AW21" s="11">
        <f t="shared" si="32"/>
        <v>0.30519370843038107</v>
      </c>
      <c r="AY21" s="11">
        <f t="shared" si="33"/>
        <v>0.26237033437821305</v>
      </c>
      <c r="AZ21" s="128">
        <f>DATOS!$J$12*AY21*$B$16</f>
        <v>119044.30609208034</v>
      </c>
      <c r="BA21" s="11">
        <f t="shared" si="34"/>
        <v>0.76424279319149779</v>
      </c>
      <c r="BC21" s="11">
        <f t="shared" si="35"/>
        <v>0.24307947990218004</v>
      </c>
      <c r="BE21" s="11">
        <f t="shared" si="36"/>
        <v>0.20859974568095876</v>
      </c>
      <c r="BF21" s="128">
        <f>DATOS!$J$12*BE21*$B$16</f>
        <v>94647.17889857688</v>
      </c>
      <c r="BG21">
        <f t="shared" ref="BG21:BG42" si="38">1244000-(533784*BE21*0.75)</f>
        <v>1160489.5950135763</v>
      </c>
    </row>
    <row r="22" spans="1:60">
      <c r="A22" s="41">
        <f t="shared" ref="A22:A84" si="39">A21+5</f>
        <v>30</v>
      </c>
      <c r="B22">
        <f t="shared" si="37"/>
        <v>8.7846327645256725E-2</v>
      </c>
      <c r="C22">
        <f t="shared" si="4"/>
        <v>8.9371347756145275E-2</v>
      </c>
      <c r="D22">
        <f t="shared" si="5"/>
        <v>9.0978652542787447E-2</v>
      </c>
      <c r="E22">
        <f t="shared" si="6"/>
        <v>9.26759182031381E-2</v>
      </c>
      <c r="F22">
        <f t="shared" si="7"/>
        <v>9.4471862399718567E-2</v>
      </c>
      <c r="G22">
        <f t="shared" si="8"/>
        <v>9.637643327045603E-2</v>
      </c>
      <c r="H22">
        <f t="shared" si="9"/>
        <v>9.8401042130233332E-2</v>
      </c>
      <c r="I22">
        <f t="shared" si="10"/>
        <v>0.10055885232332218</v>
      </c>
      <c r="J22" s="46"/>
      <c r="K22">
        <f t="shared" si="11"/>
        <v>1.0015819803425554</v>
      </c>
      <c r="L22">
        <f t="shared" si="12"/>
        <v>288.60584763570733</v>
      </c>
      <c r="M22">
        <f t="shared" si="13"/>
        <v>1.0054509729429406</v>
      </c>
      <c r="N22">
        <f t="shared" si="14"/>
        <v>102339.44942731796</v>
      </c>
      <c r="O22">
        <f t="shared" si="15"/>
        <v>0.85642359803568757</v>
      </c>
      <c r="P22" s="128">
        <f>DATOS!$J$12*O22*$B$16</f>
        <v>388581.86155327468</v>
      </c>
      <c r="Q22" s="66">
        <f t="shared" si="16"/>
        <v>0.9677454368756111</v>
      </c>
      <c r="S22">
        <f t="shared" si="17"/>
        <v>0.83934288543614544</v>
      </c>
      <c r="U22">
        <f t="shared" si="18"/>
        <v>0.71639115448713819</v>
      </c>
      <c r="V22" s="128">
        <f>DATOS!$J$12*U22*$B$16</f>
        <v>325045.46704388177</v>
      </c>
      <c r="W22" s="49">
        <f t="shared" si="19"/>
        <v>0.93390889340866678</v>
      </c>
      <c r="Y22" s="52">
        <f t="shared" si="20"/>
        <v>0.69618967786801511</v>
      </c>
      <c r="AA22">
        <f t="shared" si="21"/>
        <v>0.5932948819607714</v>
      </c>
      <c r="AB22" s="128">
        <f>DATOS!$J$12*AA22*$B$16</f>
        <v>269193.45778318925</v>
      </c>
      <c r="AC22" s="11">
        <f t="shared" si="22"/>
        <v>0.90007234994172236</v>
      </c>
      <c r="AE22" s="11">
        <f t="shared" si="23"/>
        <v>0.57348158831662532</v>
      </c>
      <c r="AG22" s="11">
        <f t="shared" si="24"/>
        <v>0.48793572604245089</v>
      </c>
      <c r="AH22" s="11">
        <f>DATOS!$J$12*AG22*$B$16</f>
        <v>221389.24380271847</v>
      </c>
      <c r="AI22" s="11">
        <f t="shared" si="25"/>
        <v>0.86623580647477805</v>
      </c>
      <c r="AK22" s="11">
        <f t="shared" si="26"/>
        <v>0.46890571239005902</v>
      </c>
      <c r="AM22" s="11">
        <f t="shared" si="27"/>
        <v>0.39828487839290294</v>
      </c>
      <c r="AN22" s="128">
        <f>DATOS!$J$12*AM22*$B$16</f>
        <v>180712.3015169237</v>
      </c>
      <c r="AO22" s="11">
        <f t="shared" si="28"/>
        <v>0.83239926300783373</v>
      </c>
      <c r="AQ22" s="11">
        <f t="shared" si="29"/>
        <v>0.38033709103447355</v>
      </c>
      <c r="AS22" s="11">
        <f t="shared" si="30"/>
        <v>0.32248085377707891</v>
      </c>
      <c r="AT22" s="128">
        <f>DATOS!$J$12*AS22*$B$16</f>
        <v>146318.02622370634</v>
      </c>
      <c r="AU22" s="11">
        <f t="shared" si="31"/>
        <v>0.79856271954088953</v>
      </c>
      <c r="AW22" s="11">
        <f t="shared" si="32"/>
        <v>0.3058298837165811</v>
      </c>
      <c r="AY22" s="11">
        <f t="shared" si="33"/>
        <v>0.25882144269417895</v>
      </c>
      <c r="AZ22" s="128">
        <f>DATOS!$J$12*AY22*$B$16</f>
        <v>117434.08080146959</v>
      </c>
      <c r="BA22" s="11">
        <f t="shared" si="34"/>
        <v>0.76472617607394522</v>
      </c>
      <c r="BC22" s="11">
        <f t="shared" si="35"/>
        <v>0.24360862945174891</v>
      </c>
      <c r="BE22" s="11">
        <f t="shared" si="36"/>
        <v>0.20575575167058871</v>
      </c>
      <c r="BF22" s="128">
        <f>DATOS!$J$12*BE22*$B$16</f>
        <v>93356.784181137176</v>
      </c>
      <c r="BG22">
        <f t="shared" si="38"/>
        <v>1161628.1538876998</v>
      </c>
    </row>
    <row r="23" spans="1:60">
      <c r="A23" s="41">
        <f t="shared" si="39"/>
        <v>35</v>
      </c>
      <c r="B23">
        <f t="shared" si="37"/>
        <v>0.10248738225279952</v>
      </c>
      <c r="C23">
        <f t="shared" si="4"/>
        <v>0.10426657238216949</v>
      </c>
      <c r="D23">
        <f t="shared" si="5"/>
        <v>0.10614176129991869</v>
      </c>
      <c r="E23">
        <f t="shared" si="6"/>
        <v>0.10812190457032778</v>
      </c>
      <c r="F23">
        <f t="shared" si="7"/>
        <v>0.11021717279967166</v>
      </c>
      <c r="G23">
        <f t="shared" si="8"/>
        <v>0.11243917214886537</v>
      </c>
      <c r="H23">
        <f t="shared" si="9"/>
        <v>0.11480121581860556</v>
      </c>
      <c r="I23">
        <f t="shared" si="10"/>
        <v>0.11731866104387588</v>
      </c>
      <c r="J23" s="46"/>
      <c r="K23">
        <f t="shared" si="11"/>
        <v>1.0021532510218114</v>
      </c>
      <c r="L23">
        <f t="shared" si="12"/>
        <v>288.77045928193496</v>
      </c>
      <c r="M23">
        <f t="shared" si="13"/>
        <v>1.0074245479956412</v>
      </c>
      <c r="N23">
        <f t="shared" si="14"/>
        <v>102540.32902237737</v>
      </c>
      <c r="O23">
        <f t="shared" si="15"/>
        <v>0.84533198665434905</v>
      </c>
      <c r="P23" s="128">
        <f>DATOS!$J$12*O23*$B$16</f>
        <v>383549.3063924039</v>
      </c>
      <c r="Q23" s="66">
        <f t="shared" si="16"/>
        <v>0.96831670755486721</v>
      </c>
      <c r="S23">
        <f t="shared" si="17"/>
        <v>0.84104805704240804</v>
      </c>
      <c r="U23">
        <f t="shared" si="18"/>
        <v>0.7079752125045371</v>
      </c>
      <c r="V23" s="128">
        <f>DATOS!$J$12*U23*$B$16</f>
        <v>321226.93330681021</v>
      </c>
      <c r="W23" s="49">
        <f t="shared" si="19"/>
        <v>0.93448016408792278</v>
      </c>
      <c r="Y23" s="52">
        <f t="shared" si="20"/>
        <v>0.69765530739382309</v>
      </c>
      <c r="AA23">
        <f t="shared" si="21"/>
        <v>0.5862822537249236</v>
      </c>
      <c r="AB23" s="128">
        <f>DATOS!$J$12*AA23*$B$16</f>
        <v>266011.64432018233</v>
      </c>
      <c r="AC23" s="11">
        <f t="shared" si="22"/>
        <v>0.90064362062097847</v>
      </c>
      <c r="AE23" s="11">
        <f t="shared" si="23"/>
        <v>0.57473431224446192</v>
      </c>
      <c r="AG23" s="11">
        <f t="shared" si="24"/>
        <v>0.48213237988221436</v>
      </c>
      <c r="AH23" s="11">
        <f>DATOS!$J$12*AG23*$B$16</f>
        <v>218756.1133526059</v>
      </c>
      <c r="AI23" s="11">
        <f t="shared" si="25"/>
        <v>0.86680707715403416</v>
      </c>
      <c r="AK23" s="11">
        <f t="shared" si="26"/>
        <v>0.4699700412393889</v>
      </c>
      <c r="AM23" s="11">
        <f t="shared" si="27"/>
        <v>0.39351768274436</v>
      </c>
      <c r="AN23" s="128">
        <f>DATOS!$J$12*AM23*$B$16</f>
        <v>178549.29974566438</v>
      </c>
      <c r="AO23" s="11">
        <f t="shared" si="28"/>
        <v>0.83297053368708984</v>
      </c>
      <c r="AQ23" s="11">
        <f t="shared" si="29"/>
        <v>0.38123550735235079</v>
      </c>
      <c r="AS23" s="11">
        <f t="shared" si="30"/>
        <v>0.31859601308375435</v>
      </c>
      <c r="AT23" s="128">
        <f>DATOS!$J$12*AS23*$B$16</f>
        <v>144555.37205127068</v>
      </c>
      <c r="AU23" s="11">
        <f t="shared" si="31"/>
        <v>0.79913399022014575</v>
      </c>
      <c r="AW23" s="11">
        <f t="shared" si="32"/>
        <v>0.30658293911199408</v>
      </c>
      <c r="AY23" s="11">
        <f t="shared" si="33"/>
        <v>0.25568299480526513</v>
      </c>
      <c r="AZ23" s="128">
        <f>DATOS!$J$12*AY23*$B$16</f>
        <v>116010.08463198144</v>
      </c>
      <c r="BA23" s="11">
        <f t="shared" si="34"/>
        <v>0.76529744675320133</v>
      </c>
      <c r="BC23" s="11">
        <f t="shared" si="35"/>
        <v>0.24423504064548474</v>
      </c>
      <c r="BE23" s="11">
        <f t="shared" si="36"/>
        <v>0.20324412669441086</v>
      </c>
      <c r="BF23" s="128">
        <f>DATOS!$J$12*BE23*$B$16</f>
        <v>92217.194016871043</v>
      </c>
      <c r="BG23">
        <f t="shared" si="38"/>
        <v>1162633.6528074129</v>
      </c>
    </row>
    <row r="24" spans="1:60">
      <c r="A24" s="41">
        <f t="shared" si="39"/>
        <v>40</v>
      </c>
      <c r="B24">
        <f t="shared" si="37"/>
        <v>0.11712843686034231</v>
      </c>
      <c r="C24">
        <f t="shared" si="4"/>
        <v>0.11916179700819371</v>
      </c>
      <c r="D24">
        <f t="shared" si="5"/>
        <v>0.12130487005704993</v>
      </c>
      <c r="E24">
        <f t="shared" si="6"/>
        <v>0.12356789093751747</v>
      </c>
      <c r="F24">
        <f t="shared" si="7"/>
        <v>0.12596248319962475</v>
      </c>
      <c r="G24">
        <f>$A24/SQRT(1.41*287.05*$C$12)</f>
        <v>0.12850191102727471</v>
      </c>
      <c r="H24">
        <f t="shared" si="9"/>
        <v>0.13120138950697777</v>
      </c>
      <c r="I24">
        <f t="shared" si="10"/>
        <v>0.13407846976442958</v>
      </c>
      <c r="J24" s="46"/>
      <c r="K24">
        <f t="shared" si="11"/>
        <v>1.0028124094978761</v>
      </c>
      <c r="L24">
        <f t="shared" si="12"/>
        <v>288.96039579681297</v>
      </c>
      <c r="M24">
        <f t="shared" si="13"/>
        <v>1.0097051621473672</v>
      </c>
      <c r="N24">
        <f t="shared" si="14"/>
        <v>102772.46047674419</v>
      </c>
      <c r="O24">
        <f t="shared" si="15"/>
        <v>0.83511182144606444</v>
      </c>
      <c r="P24" s="128">
        <f>DATOS!$J$12*O24*$B$16</f>
        <v>378912.14922960958</v>
      </c>
      <c r="Q24" s="66">
        <f t="shared" si="16"/>
        <v>0.96897586603093178</v>
      </c>
      <c r="S24">
        <f t="shared" si="17"/>
        <v>0.84301861395641553</v>
      </c>
      <c r="U24">
        <f t="shared" si="18"/>
        <v>0.70042444514989943</v>
      </c>
      <c r="V24" s="128">
        <f>DATOS!$J$12*U24*$B$16</f>
        <v>317800.95200322341</v>
      </c>
      <c r="W24" s="49">
        <f t="shared" si="19"/>
        <v>0.93513932256398757</v>
      </c>
      <c r="Y24" s="52">
        <f t="shared" si="20"/>
        <v>0.69934913600174908</v>
      </c>
      <c r="AA24">
        <f t="shared" si="21"/>
        <v>0.57999726235385995</v>
      </c>
      <c r="AB24" s="128">
        <f>DATOS!$J$12*AA24*$B$16</f>
        <v>263159.97879810218</v>
      </c>
      <c r="AC24" s="11">
        <f t="shared" si="22"/>
        <v>0.90130277909704315</v>
      </c>
      <c r="AE24" s="11">
        <f t="shared" si="23"/>
        <v>0.57618217310981601</v>
      </c>
      <c r="AG24" s="11">
        <f t="shared" si="24"/>
        <v>0.47693715522318969</v>
      </c>
      <c r="AH24" s="11">
        <f>DATOS!$J$12*AG24*$B$16</f>
        <v>216398.90358652564</v>
      </c>
      <c r="AI24" s="11">
        <f t="shared" si="25"/>
        <v>0.86746623563009895</v>
      </c>
      <c r="AK24" s="11">
        <f t="shared" si="26"/>
        <v>0.47120024070759925</v>
      </c>
      <c r="AM24" s="11">
        <f t="shared" si="27"/>
        <v>0.38925529148007193</v>
      </c>
      <c r="AN24" s="128">
        <f>DATOS!$J$12*AM24*$B$16</f>
        <v>176615.34097112293</v>
      </c>
      <c r="AO24" s="11">
        <f t="shared" si="28"/>
        <v>0.83362969216315463</v>
      </c>
      <c r="AQ24" s="11">
        <f t="shared" si="29"/>
        <v>0.38227401062818195</v>
      </c>
      <c r="AS24" s="11">
        <f t="shared" si="30"/>
        <v>0.31512716026174009</v>
      </c>
      <c r="AT24" s="128">
        <f>DATOS!$J$12*AS24*$B$16</f>
        <v>142981.46249281822</v>
      </c>
      <c r="AU24" s="11">
        <f t="shared" si="31"/>
        <v>0.79979314869621043</v>
      </c>
      <c r="AW24" s="11">
        <f t="shared" si="32"/>
        <v>0.30745348223391239</v>
      </c>
      <c r="AY24" s="11">
        <f t="shared" si="33"/>
        <v>0.25288464327730636</v>
      </c>
      <c r="AZ24" s="128">
        <f>DATOS!$J$12*AY24*$B$16</f>
        <v>114740.39910660741</v>
      </c>
      <c r="BA24" s="11">
        <f t="shared" si="34"/>
        <v>0.76595660522926612</v>
      </c>
      <c r="BC24" s="11">
        <f t="shared" si="35"/>
        <v>0.24495924132443808</v>
      </c>
      <c r="BE24" s="11">
        <f t="shared" si="36"/>
        <v>0.20100817353869363</v>
      </c>
      <c r="BF24" s="128">
        <f>DATOS!$J$12*BE24*$B$16</f>
        <v>91202.68339200347</v>
      </c>
      <c r="BG24">
        <f t="shared" si="38"/>
        <v>1163528.7898218664</v>
      </c>
    </row>
    <row r="25" spans="1:60">
      <c r="A25" s="41">
        <f t="shared" si="39"/>
        <v>45</v>
      </c>
      <c r="B25">
        <f t="shared" si="37"/>
        <v>0.13176949146788511</v>
      </c>
      <c r="C25">
        <f t="shared" si="4"/>
        <v>0.13405702163421793</v>
      </c>
      <c r="D25">
        <f t="shared" si="5"/>
        <v>0.13646797881418118</v>
      </c>
      <c r="E25">
        <f t="shared" si="6"/>
        <v>0.13901387730470716</v>
      </c>
      <c r="F25">
        <f t="shared" si="7"/>
        <v>0.14170779359957786</v>
      </c>
      <c r="G25">
        <f t="shared" si="8"/>
        <v>0.14456464990568405</v>
      </c>
      <c r="H25">
        <f t="shared" si="9"/>
        <v>0.14760156319535001</v>
      </c>
      <c r="I25">
        <f t="shared" si="10"/>
        <v>0.15083827848498327</v>
      </c>
      <c r="J25" s="46"/>
      <c r="K25">
        <f t="shared" si="11"/>
        <v>1.0035594557707495</v>
      </c>
      <c r="L25">
        <f t="shared" si="12"/>
        <v>289.17565718034143</v>
      </c>
      <c r="M25">
        <f t="shared" si="13"/>
        <v>1.0122942819394267</v>
      </c>
      <c r="N25">
        <f t="shared" si="14"/>
        <v>103035.99306177435</v>
      </c>
      <c r="O25">
        <f t="shared" si="15"/>
        <v>0.82561266640903852</v>
      </c>
      <c r="P25" s="128">
        <f>DATOS!$J$12*O25*$B$16</f>
        <v>374602.13330298528</v>
      </c>
      <c r="Q25" s="66">
        <f t="shared" si="16"/>
        <v>0.96972291230380525</v>
      </c>
      <c r="S25">
        <f t="shared" si="17"/>
        <v>0.84525586771335592</v>
      </c>
      <c r="U25">
        <f t="shared" si="18"/>
        <v>0.69361053178044207</v>
      </c>
      <c r="V25" s="128">
        <f>DATOS!$J$12*U25*$B$16</f>
        <v>314709.30068997206</v>
      </c>
      <c r="W25" s="49">
        <f t="shared" si="19"/>
        <v>0.93588636883686094</v>
      </c>
      <c r="Y25" s="52">
        <f t="shared" si="20"/>
        <v>0.70127233195803029</v>
      </c>
      <c r="AA25">
        <f t="shared" si="21"/>
        <v>0.57433242832525344</v>
      </c>
      <c r="AB25" s="128">
        <f>DATOS!$J$12*AA25*$B$16</f>
        <v>260589.69493708402</v>
      </c>
      <c r="AC25" s="11">
        <f t="shared" si="22"/>
        <v>0.90204982536991651</v>
      </c>
      <c r="AE25" s="11">
        <f t="shared" si="23"/>
        <v>0.57782620713494481</v>
      </c>
      <c r="AG25" s="11">
        <f t="shared" si="24"/>
        <v>0.47226061365854405</v>
      </c>
      <c r="AH25" s="11">
        <f>DATOS!$J$12*AG25*$B$16</f>
        <v>214277.03395216566</v>
      </c>
      <c r="AI25" s="11">
        <f t="shared" si="25"/>
        <v>0.86821328190297231</v>
      </c>
      <c r="AK25" s="11">
        <f t="shared" si="26"/>
        <v>0.47259722569045609</v>
      </c>
      <c r="AM25" s="11">
        <f t="shared" si="27"/>
        <v>0.3854237994084676</v>
      </c>
      <c r="AN25" s="128">
        <f>DATOS!$J$12*AM25*$B$16</f>
        <v>174876.89246838962</v>
      </c>
      <c r="AO25" s="11">
        <f t="shared" si="28"/>
        <v>0.83437673843602789</v>
      </c>
      <c r="AQ25" s="11">
        <f t="shared" si="29"/>
        <v>0.38345340464610339</v>
      </c>
      <c r="AS25" s="11">
        <f t="shared" si="30"/>
        <v>0.31201368647190458</v>
      </c>
      <c r="AT25" s="128">
        <f>DATOS!$J$12*AS25*$B$16</f>
        <v>141568.79772747718</v>
      </c>
      <c r="AU25" s="11">
        <f t="shared" si="31"/>
        <v>0.80054019496908368</v>
      </c>
      <c r="AW25" s="11">
        <f t="shared" si="32"/>
        <v>0.30844221547207179</v>
      </c>
      <c r="AY25" s="11">
        <f t="shared" si="33"/>
        <v>0.25037708952111071</v>
      </c>
      <c r="AZ25" s="128">
        <f>DATOS!$J$12*AY25*$B$16</f>
        <v>113602.65616168822</v>
      </c>
      <c r="BA25" s="11">
        <f t="shared" si="34"/>
        <v>0.76670365150213937</v>
      </c>
      <c r="BC25" s="11">
        <f t="shared" si="35"/>
        <v>0.24578184170868125</v>
      </c>
      <c r="BE25" s="11">
        <f t="shared" si="36"/>
        <v>0.19900814903497177</v>
      </c>
      <c r="BF25" s="128">
        <f>DATOS!$J$12*BE25*$B$16</f>
        <v>90295.219788021801</v>
      </c>
      <c r="BG25">
        <f t="shared" si="38"/>
        <v>1164329.4756316375</v>
      </c>
    </row>
    <row r="26" spans="1:60">
      <c r="A26" s="41">
        <f t="shared" si="39"/>
        <v>50</v>
      </c>
      <c r="B26">
        <f t="shared" si="37"/>
        <v>0.14641054607542789</v>
      </c>
      <c r="C26">
        <f t="shared" si="4"/>
        <v>0.14895224626024214</v>
      </c>
      <c r="D26">
        <f t="shared" si="5"/>
        <v>0.15163108757131241</v>
      </c>
      <c r="E26">
        <f t="shared" si="6"/>
        <v>0.15445986367189682</v>
      </c>
      <c r="F26">
        <f t="shared" si="7"/>
        <v>0.15745310399953094</v>
      </c>
      <c r="G26">
        <f t="shared" si="8"/>
        <v>0.16062738878409338</v>
      </c>
      <c r="H26">
        <f t="shared" si="9"/>
        <v>0.16400173688372222</v>
      </c>
      <c r="I26">
        <f t="shared" si="10"/>
        <v>0.16759808720553696</v>
      </c>
      <c r="J26" s="46"/>
      <c r="K26">
        <f t="shared" si="11"/>
        <v>1.0043943898404315</v>
      </c>
      <c r="L26">
        <f t="shared" si="12"/>
        <v>289.41624343252033</v>
      </c>
      <c r="M26">
        <f t="shared" si="13"/>
        <v>1.0151935722429128</v>
      </c>
      <c r="N26">
        <f t="shared" si="14"/>
        <v>103331.09623574639</v>
      </c>
      <c r="O26">
        <f t="shared" si="15"/>
        <v>0.8167242329488793</v>
      </c>
      <c r="P26" s="128">
        <f>DATOS!$J$12*O26*$B$16</f>
        <v>370569.21778295178</v>
      </c>
      <c r="Q26" s="66">
        <f t="shared" si="16"/>
        <v>0.97055784637348719</v>
      </c>
      <c r="S26">
        <f t="shared" si="17"/>
        <v>0.84776130730275889</v>
      </c>
      <c r="U26">
        <f t="shared" si="18"/>
        <v>0.68743927867975441</v>
      </c>
      <c r="V26" s="128">
        <f>DATOS!$J$12*U26*$B$16</f>
        <v>311909.24120599497</v>
      </c>
      <c r="W26" s="49">
        <f t="shared" si="19"/>
        <v>0.93672130290654276</v>
      </c>
      <c r="Y26" s="52">
        <f t="shared" si="20"/>
        <v>0.70342622168168734</v>
      </c>
      <c r="AA26">
        <f t="shared" si="21"/>
        <v>0.56920884117614956</v>
      </c>
      <c r="AB26" s="128">
        <f>DATOS!$J$12*AA26*$B$16</f>
        <v>258264.98898923802</v>
      </c>
      <c r="AC26" s="11">
        <f t="shared" si="22"/>
        <v>0.90288475943959845</v>
      </c>
      <c r="AE26" s="11">
        <f t="shared" si="23"/>
        <v>0.57966759089883479</v>
      </c>
      <c r="AG26" s="11">
        <f t="shared" si="24"/>
        <v>0.46803707717922394</v>
      </c>
      <c r="AH26" s="11">
        <f>DATOS!$J$12*AG26*$B$16</f>
        <v>212360.70461323031</v>
      </c>
      <c r="AI26" s="11">
        <f t="shared" si="25"/>
        <v>0.86904821597265425</v>
      </c>
      <c r="AK26" s="11">
        <f t="shared" si="26"/>
        <v>0.47416203508215898</v>
      </c>
      <c r="AM26" s="11">
        <f t="shared" si="27"/>
        <v>0.38196892379810971</v>
      </c>
      <c r="AN26" s="128">
        <f>DATOS!$J$12*AM26*$B$16</f>
        <v>173309.32473766958</v>
      </c>
      <c r="AO26" s="11">
        <f t="shared" si="28"/>
        <v>0.83521167250570993</v>
      </c>
      <c r="AQ26" s="11">
        <f t="shared" si="29"/>
        <v>0.3847746022010467</v>
      </c>
      <c r="AS26" s="11">
        <f t="shared" si="30"/>
        <v>0.30921106532931636</v>
      </c>
      <c r="AT26" s="128">
        <f>DATOS!$J$12*AS26*$B$16</f>
        <v>140297.17496589827</v>
      </c>
      <c r="AU26" s="11">
        <f t="shared" si="31"/>
        <v>0.80137512903876584</v>
      </c>
      <c r="AW26" s="11">
        <f t="shared" si="32"/>
        <v>0.30954993654358093</v>
      </c>
      <c r="AY26" s="11">
        <f t="shared" si="33"/>
        <v>0.24812410800964449</v>
      </c>
      <c r="AZ26" s="128">
        <f>DATOS!$J$12*AY26*$B$16</f>
        <v>112580.41932494218</v>
      </c>
      <c r="BA26" s="11">
        <f t="shared" si="34"/>
        <v>0.76753858557182142</v>
      </c>
      <c r="BC26" s="11">
        <f t="shared" si="35"/>
        <v>0.24670353490070024</v>
      </c>
      <c r="BE26" s="11">
        <f t="shared" si="36"/>
        <v>0.1972148422406419</v>
      </c>
      <c r="BF26" s="128">
        <f>DATOS!$J$12*BE26*$B$16</f>
        <v>89481.549433684137</v>
      </c>
      <c r="BG26">
        <f t="shared" si="38"/>
        <v>1165047.404487066</v>
      </c>
    </row>
    <row r="27" spans="1:60">
      <c r="A27" s="41">
        <f t="shared" si="39"/>
        <v>55</v>
      </c>
      <c r="B27">
        <f t="shared" si="37"/>
        <v>0.16105160068297067</v>
      </c>
      <c r="C27">
        <f t="shared" si="4"/>
        <v>0.16384747088626636</v>
      </c>
      <c r="D27">
        <f t="shared" si="5"/>
        <v>0.16679419632844367</v>
      </c>
      <c r="E27">
        <f t="shared" si="6"/>
        <v>0.16990585003908651</v>
      </c>
      <c r="F27">
        <f t="shared" si="7"/>
        <v>0.17319841439948405</v>
      </c>
      <c r="G27">
        <f t="shared" si="8"/>
        <v>0.17669012766250272</v>
      </c>
      <c r="H27">
        <f t="shared" si="9"/>
        <v>0.18040191057209443</v>
      </c>
      <c r="I27">
        <f t="shared" si="10"/>
        <v>0.18435789592609067</v>
      </c>
      <c r="J27" s="46"/>
      <c r="K27">
        <f t="shared" si="11"/>
        <v>1.0053172117069222</v>
      </c>
      <c r="L27">
        <f t="shared" si="12"/>
        <v>289.68215455334962</v>
      </c>
      <c r="M27">
        <f t="shared" si="13"/>
        <v>1.0184048973069109</v>
      </c>
      <c r="N27">
        <f t="shared" si="14"/>
        <v>103657.95975055285</v>
      </c>
      <c r="O27">
        <f t="shared" si="15"/>
        <v>0.80836256813531493</v>
      </c>
      <c r="P27" s="128">
        <f>DATOS!$J$12*O27*$B$16</f>
        <v>366775.31102186791</v>
      </c>
      <c r="Q27" s="66">
        <f t="shared" si="16"/>
        <v>0.97148066823997792</v>
      </c>
      <c r="S27">
        <f t="shared" si="17"/>
        <v>0.85053660013865551</v>
      </c>
      <c r="U27">
        <f t="shared" si="18"/>
        <v>0.68183897922989678</v>
      </c>
      <c r="V27" s="128">
        <f>DATOS!$J$12*U27*$B$16</f>
        <v>309368.23837693606</v>
      </c>
      <c r="W27" s="49">
        <f t="shared" si="19"/>
        <v>0.93764412477303349</v>
      </c>
      <c r="Y27" s="52">
        <f t="shared" si="20"/>
        <v>0.70581229063997608</v>
      </c>
      <c r="AA27">
        <f t="shared" si="21"/>
        <v>0.56456641860685108</v>
      </c>
      <c r="AB27" s="128">
        <f>DATOS!$J$12*AA27*$B$16</f>
        <v>256158.60003845178</v>
      </c>
      <c r="AC27" s="11">
        <f t="shared" si="22"/>
        <v>0.90380758130608929</v>
      </c>
      <c r="AE27" s="11">
        <f t="shared" si="23"/>
        <v>0.58170764216126447</v>
      </c>
      <c r="AG27" s="11">
        <f t="shared" si="24"/>
        <v>0.46421652979796318</v>
      </c>
      <c r="AH27" s="11">
        <f>DATOS!$J$12*AG27*$B$16</f>
        <v>210627.22200372737</v>
      </c>
      <c r="AI27" s="11">
        <f t="shared" si="25"/>
        <v>0.86997103783914498</v>
      </c>
      <c r="AK27" s="11">
        <f t="shared" si="26"/>
        <v>0.47589583253130197</v>
      </c>
      <c r="AM27" s="11">
        <f t="shared" si="27"/>
        <v>0.37884931901383473</v>
      </c>
      <c r="AN27" s="128">
        <f>DATOS!$J$12*AM27*$B$16</f>
        <v>171893.8781792557</v>
      </c>
      <c r="AO27" s="11">
        <f t="shared" si="28"/>
        <v>0.83613449437220067</v>
      </c>
      <c r="AQ27" s="11">
        <f t="shared" si="29"/>
        <v>0.3862386257898498</v>
      </c>
      <c r="AS27" s="11">
        <f t="shared" si="30"/>
        <v>0.30668537599395118</v>
      </c>
      <c r="AT27" s="128">
        <f>DATOS!$J$12*AS27*$B$16</f>
        <v>139151.20343277784</v>
      </c>
      <c r="AU27" s="11">
        <f t="shared" si="31"/>
        <v>0.80229795090525646</v>
      </c>
      <c r="AW27" s="11">
        <f t="shared" si="32"/>
        <v>0.31077753912240613</v>
      </c>
      <c r="AY27" s="11">
        <f t="shared" si="33"/>
        <v>0.24609809633677679</v>
      </c>
      <c r="AZ27" s="128">
        <f>DATOS!$J$12*AY27*$B$16</f>
        <v>111661.16466033779</v>
      </c>
      <c r="BA27" s="11">
        <f t="shared" si="34"/>
        <v>0.76846140743831204</v>
      </c>
      <c r="BC27" s="11">
        <f t="shared" si="35"/>
        <v>0.24772509745643817</v>
      </c>
      <c r="BE27" s="11">
        <f t="shared" si="36"/>
        <v>0.19560599124466579</v>
      </c>
      <c r="BF27" s="128">
        <f>DATOS!$J$12*BE27*$B$16</f>
        <v>88751.5715157331</v>
      </c>
      <c r="BG27">
        <f t="shared" si="38"/>
        <v>1165691.4886770931</v>
      </c>
    </row>
    <row r="28" spans="1:60">
      <c r="A28" s="41">
        <f t="shared" si="39"/>
        <v>60</v>
      </c>
      <c r="B28">
        <f t="shared" si="37"/>
        <v>0.17569265529051345</v>
      </c>
      <c r="C28">
        <f t="shared" si="4"/>
        <v>0.17874269551229055</v>
      </c>
      <c r="D28">
        <f t="shared" si="5"/>
        <v>0.18195730508557489</v>
      </c>
      <c r="E28">
        <f t="shared" si="6"/>
        <v>0.1853518364062762</v>
      </c>
      <c r="F28">
        <f t="shared" si="7"/>
        <v>0.18894372479943713</v>
      </c>
      <c r="G28">
        <f t="shared" si="8"/>
        <v>0.19275286654091206</v>
      </c>
      <c r="H28">
        <f t="shared" si="9"/>
        <v>0.19680208426046666</v>
      </c>
      <c r="I28">
        <f t="shared" si="10"/>
        <v>0.20111770464664436</v>
      </c>
      <c r="J28" s="46"/>
      <c r="K28">
        <f t="shared" si="11"/>
        <v>1.0063279213702214</v>
      </c>
      <c r="L28">
        <f t="shared" si="12"/>
        <v>289.97339054282929</v>
      </c>
      <c r="M28">
        <f t="shared" si="13"/>
        <v>1.0219303219309688</v>
      </c>
      <c r="N28">
        <f t="shared" si="14"/>
        <v>104016.79377103977</v>
      </c>
      <c r="O28">
        <f t="shared" si="15"/>
        <v>0.80046179955216545</v>
      </c>
      <c r="P28" s="128">
        <f>DATOS!$J$12*O28*$B$16</f>
        <v>363190.52497582306</v>
      </c>
      <c r="Q28" s="66">
        <f t="shared" si="16"/>
        <v>0.97249137790327711</v>
      </c>
      <c r="S28">
        <f t="shared" si="17"/>
        <v>0.85358359314477039</v>
      </c>
      <c r="U28">
        <f t="shared" si="18"/>
        <v>0.67675345330285708</v>
      </c>
      <c r="V28" s="128">
        <f>DATOS!$J$12*U28*$B$16</f>
        <v>307060.80180438125</v>
      </c>
      <c r="W28" s="49">
        <f t="shared" si="19"/>
        <v>0.9386548344363328</v>
      </c>
      <c r="Y28" s="52">
        <f t="shared" si="20"/>
        <v>0.70843218435004784</v>
      </c>
      <c r="AA28">
        <f t="shared" si="21"/>
        <v>0.56035808111084662</v>
      </c>
      <c r="AB28" s="128">
        <f>DATOS!$J$12*AA28*$B$16</f>
        <v>254249.16687711369</v>
      </c>
      <c r="AC28" s="11">
        <f t="shared" si="22"/>
        <v>0.90481829096938848</v>
      </c>
      <c r="AE28" s="11">
        <f t="shared" si="23"/>
        <v>0.58394782078463958</v>
      </c>
      <c r="AG28" s="11">
        <f t="shared" si="24"/>
        <v>0.46075977417027214</v>
      </c>
      <c r="AH28" s="11">
        <f>DATOS!$J$12*AG28*$B$16</f>
        <v>209058.801259806</v>
      </c>
      <c r="AI28" s="11">
        <f t="shared" si="25"/>
        <v>0.87098174750244417</v>
      </c>
      <c r="AK28" s="11">
        <f t="shared" si="26"/>
        <v>0.47779990728655647</v>
      </c>
      <c r="AM28" s="11">
        <f t="shared" si="27"/>
        <v>0.37603257795620543</v>
      </c>
      <c r="AN28" s="128">
        <f>DATOS!$J$12*AM28*$B$16</f>
        <v>170615.84884167369</v>
      </c>
      <c r="AO28" s="11">
        <f t="shared" si="28"/>
        <v>0.83714520403549986</v>
      </c>
      <c r="AQ28" s="11">
        <f t="shared" si="29"/>
        <v>0.38784660838442553</v>
      </c>
      <c r="AS28" s="11">
        <f t="shared" si="30"/>
        <v>0.30441002716409371</v>
      </c>
      <c r="AT28" s="128">
        <f>DATOS!$J$12*AS28*$B$16</f>
        <v>138118.81795669219</v>
      </c>
      <c r="AU28" s="11">
        <f t="shared" si="31"/>
        <v>0.80330866056855565</v>
      </c>
      <c r="AW28" s="11">
        <f t="shared" si="32"/>
        <v>0.31212601354362429</v>
      </c>
      <c r="AY28" s="11">
        <f t="shared" si="33"/>
        <v>0.24427741328555722</v>
      </c>
      <c r="AZ28" s="128">
        <f>DATOS!$J$12*AY28*$B$16</f>
        <v>110835.07297981415</v>
      </c>
      <c r="BA28" s="11">
        <f t="shared" si="34"/>
        <v>0.76947211710161134</v>
      </c>
      <c r="BC28" s="11">
        <f t="shared" si="35"/>
        <v>0.24884739002419512</v>
      </c>
      <c r="BE28" s="11">
        <f t="shared" si="36"/>
        <v>0.19416413953854622</v>
      </c>
      <c r="BF28" s="128">
        <f>DATOS!$J$12*BE28*$B$16</f>
        <v>88097.36555815232</v>
      </c>
      <c r="BG28">
        <f t="shared" si="38"/>
        <v>1166268.7167054175</v>
      </c>
    </row>
    <row r="29" spans="1:60">
      <c r="A29" s="41">
        <f t="shared" si="39"/>
        <v>65</v>
      </c>
      <c r="B29">
        <f t="shared" si="37"/>
        <v>0.19033370989805626</v>
      </c>
      <c r="C29">
        <f t="shared" si="4"/>
        <v>0.19363792013831477</v>
      </c>
      <c r="D29">
        <f t="shared" si="5"/>
        <v>0.19712041384270615</v>
      </c>
      <c r="E29">
        <f t="shared" si="6"/>
        <v>0.20079782277346589</v>
      </c>
      <c r="F29">
        <f t="shared" si="7"/>
        <v>0.20468903519939025</v>
      </c>
      <c r="G29">
        <f t="shared" si="8"/>
        <v>0.2088156054193214</v>
      </c>
      <c r="H29">
        <f t="shared" si="9"/>
        <v>0.21320225794883887</v>
      </c>
      <c r="I29">
        <f t="shared" si="10"/>
        <v>0.21787751336719804</v>
      </c>
      <c r="J29" s="46"/>
      <c r="K29">
        <f t="shared" si="11"/>
        <v>1.0074265188303293</v>
      </c>
      <c r="L29">
        <f t="shared" si="12"/>
        <v>290.28995140095935</v>
      </c>
      <c r="M29">
        <f t="shared" si="13"/>
        <v>1.0257721127621422</v>
      </c>
      <c r="N29">
        <f t="shared" si="14"/>
        <v>104407.82900702588</v>
      </c>
      <c r="O29">
        <f t="shared" si="15"/>
        <v>0.79296892543719533</v>
      </c>
      <c r="P29" s="128">
        <f>DATOS!$J$12*O29*$B$16</f>
        <v>359790.81135436572</v>
      </c>
      <c r="Q29" s="66">
        <f t="shared" si="16"/>
        <v>0.97358997536338487</v>
      </c>
      <c r="S29">
        <f t="shared" si="17"/>
        <v>0.85690431395505762</v>
      </c>
      <c r="U29">
        <f t="shared" si="18"/>
        <v>0.67213765154115024</v>
      </c>
      <c r="V29" s="128">
        <f>DATOS!$J$12*U29*$B$16</f>
        <v>304966.49141260918</v>
      </c>
      <c r="W29" s="49">
        <f t="shared" si="19"/>
        <v>0.93975343189644067</v>
      </c>
      <c r="Y29" s="52">
        <f t="shared" si="20"/>
        <v>0.71128770948710918</v>
      </c>
      <c r="AA29">
        <f t="shared" si="21"/>
        <v>0.55654607294039138</v>
      </c>
      <c r="AB29" s="128">
        <f>DATOS!$J$12*AA29*$B$16</f>
        <v>252519.55873164773</v>
      </c>
      <c r="AC29" s="11">
        <f t="shared" si="22"/>
        <v>0.90591688842949625</v>
      </c>
      <c r="AE29" s="11">
        <f t="shared" si="23"/>
        <v>0.58638972975387815</v>
      </c>
      <c r="AG29" s="11">
        <f t="shared" si="24"/>
        <v>0.45763537252998987</v>
      </c>
      <c r="AH29" s="11">
        <f>DATOS!$J$12*AG29*$B$16</f>
        <v>207641.17824193768</v>
      </c>
      <c r="AI29" s="11">
        <f t="shared" si="25"/>
        <v>0.87208034496255193</v>
      </c>
      <c r="AK29" s="11">
        <f t="shared" si="26"/>
        <v>0.47987567513233803</v>
      </c>
      <c r="AM29" s="11">
        <f t="shared" si="27"/>
        <v>0.37349270639367316</v>
      </c>
      <c r="AN29" s="128">
        <f>DATOS!$J$12*AM29*$B$16</f>
        <v>169463.4424599034</v>
      </c>
      <c r="AO29" s="11">
        <f t="shared" si="28"/>
        <v>0.83824380149560773</v>
      </c>
      <c r="AQ29" s="11">
        <f t="shared" si="29"/>
        <v>0.3895997942872314</v>
      </c>
      <c r="AS29" s="11">
        <f t="shared" si="30"/>
        <v>0.30236368763753335</v>
      </c>
      <c r="AT29" s="128">
        <f>DATOS!$J$12*AS29*$B$16</f>
        <v>137190.34001140355</v>
      </c>
      <c r="AU29" s="11">
        <f t="shared" si="31"/>
        <v>0.80440725802866342</v>
      </c>
      <c r="AW29" s="11">
        <f t="shared" si="32"/>
        <v>0.31359644758267513</v>
      </c>
      <c r="AY29" s="11">
        <f t="shared" si="33"/>
        <v>0.24264469714858491</v>
      </c>
      <c r="AZ29" s="128">
        <f>DATOS!$J$12*AY29*$B$16</f>
        <v>110094.26682110025</v>
      </c>
      <c r="BA29" s="11">
        <f t="shared" si="34"/>
        <v>0.77057071456171922</v>
      </c>
      <c r="BC29" s="11">
        <f t="shared" si="35"/>
        <v>0.25007135805160041</v>
      </c>
      <c r="BE29" s="11">
        <f t="shared" si="36"/>
        <v>0.1928752816434548</v>
      </c>
      <c r="BF29" s="128">
        <f>DATOS!$J$12*BE29*$B$16</f>
        <v>87512.576907651601</v>
      </c>
      <c r="BG29">
        <f t="shared" si="38"/>
        <v>1166784.6954974225</v>
      </c>
    </row>
    <row r="30" spans="1:60">
      <c r="A30" s="41">
        <f t="shared" si="39"/>
        <v>70</v>
      </c>
      <c r="B30">
        <f t="shared" si="37"/>
        <v>0.20497476450559904</v>
      </c>
      <c r="C30">
        <f t="shared" si="4"/>
        <v>0.20853314476433898</v>
      </c>
      <c r="D30">
        <f t="shared" si="5"/>
        <v>0.21228352259983738</v>
      </c>
      <c r="E30">
        <f t="shared" si="6"/>
        <v>0.21624380914065555</v>
      </c>
      <c r="F30">
        <f t="shared" si="7"/>
        <v>0.22043434559934333</v>
      </c>
      <c r="G30">
        <f t="shared" si="8"/>
        <v>0.22487834429773074</v>
      </c>
      <c r="H30">
        <f t="shared" si="9"/>
        <v>0.22960243163721111</v>
      </c>
      <c r="I30">
        <f t="shared" si="10"/>
        <v>0.23463732208775176</v>
      </c>
      <c r="J30" s="46"/>
      <c r="K30">
        <f t="shared" si="11"/>
        <v>1.0086130040872459</v>
      </c>
      <c r="L30">
        <f t="shared" si="12"/>
        <v>290.63183712773986</v>
      </c>
      <c r="M30">
        <f t="shared" si="13"/>
        <v>1.0299327397169584</v>
      </c>
      <c r="N30">
        <f t="shared" si="14"/>
        <v>104831.31685803671</v>
      </c>
      <c r="O30">
        <f t="shared" si="15"/>
        <v>0.78584037939925477</v>
      </c>
      <c r="P30" s="128">
        <f>DATOS!$J$12*O30*$B$16</f>
        <v>356556.40294251841</v>
      </c>
      <c r="Q30" s="66">
        <f t="shared" si="16"/>
        <v>0.97477646062030143</v>
      </c>
      <c r="S30">
        <f t="shared" si="17"/>
        <v>0.86050097222990485</v>
      </c>
      <c r="U30">
        <f t="shared" si="18"/>
        <v>0.66795475464220821</v>
      </c>
      <c r="V30" s="128">
        <f>DATOS!$J$12*U30*$B$16</f>
        <v>303068.60131779587</v>
      </c>
      <c r="W30" s="49">
        <f t="shared" si="19"/>
        <v>0.94093991715335723</v>
      </c>
      <c r="Y30" s="52">
        <f t="shared" si="20"/>
        <v>0.71438083509939587</v>
      </c>
      <c r="AA30">
        <f t="shared" si="21"/>
        <v>0.55309953415266799</v>
      </c>
      <c r="AB30" s="128">
        <f>DATOS!$J$12*AA30*$B$16</f>
        <v>250955.77363614019</v>
      </c>
      <c r="AC30" s="11">
        <f t="shared" si="22"/>
        <v>0.90710337368641292</v>
      </c>
      <c r="AE30" s="11">
        <f t="shared" si="23"/>
        <v>0.58903511629464111</v>
      </c>
      <c r="AG30" s="11">
        <f t="shared" si="24"/>
        <v>0.45481762772252377</v>
      </c>
      <c r="AH30" s="11">
        <f>DATOS!$J$12*AG30*$B$16</f>
        <v>206362.69347671335</v>
      </c>
      <c r="AI30" s="11">
        <f t="shared" si="25"/>
        <v>0.87326683021946849</v>
      </c>
      <c r="AK30" s="11">
        <f t="shared" si="26"/>
        <v>0.48212467941474368</v>
      </c>
      <c r="AM30" s="11">
        <f t="shared" si="27"/>
        <v>0.37120845589329388</v>
      </c>
      <c r="AN30" s="128">
        <f>DATOS!$J$12*AM30*$B$16</f>
        <v>168427.01806229542</v>
      </c>
      <c r="AO30" s="11">
        <f t="shared" si="28"/>
        <v>0.83943028675252429</v>
      </c>
      <c r="AQ30" s="11">
        <f t="shared" si="29"/>
        <v>0.39149954006931548</v>
      </c>
      <c r="AS30" s="11">
        <f t="shared" si="30"/>
        <v>0.30052892025034172</v>
      </c>
      <c r="AT30" s="128">
        <f>DATOS!$J$12*AS30*$B$16</f>
        <v>136357.85789803416</v>
      </c>
      <c r="AU30" s="11">
        <f t="shared" si="31"/>
        <v>0.80559374328557998</v>
      </c>
      <c r="AW30" s="11">
        <f t="shared" si="32"/>
        <v>0.31519002730987683</v>
      </c>
      <c r="AY30" s="11">
        <f t="shared" si="33"/>
        <v>0.24118575551904187</v>
      </c>
      <c r="AZ30" s="128">
        <f>DATOS!$J$12*AY30*$B$16</f>
        <v>109432.30671677137</v>
      </c>
      <c r="BA30" s="11">
        <f t="shared" si="34"/>
        <v>0.77175719981863566</v>
      </c>
      <c r="BC30" s="11">
        <f t="shared" si="35"/>
        <v>0.25139803256091048</v>
      </c>
      <c r="BE30" s="11">
        <f t="shared" si="36"/>
        <v>0.19172796888305171</v>
      </c>
      <c r="BF30" s="128">
        <f>DATOS!$J$12*BE30*$B$16</f>
        <v>86992.010999327948</v>
      </c>
      <c r="BG30">
        <f t="shared" si="38"/>
        <v>1167244.0083932967</v>
      </c>
    </row>
    <row r="31" spans="1:60">
      <c r="A31" s="41">
        <f t="shared" si="39"/>
        <v>75</v>
      </c>
      <c r="B31">
        <f t="shared" si="37"/>
        <v>0.21961581911314182</v>
      </c>
      <c r="C31">
        <f t="shared" si="4"/>
        <v>0.2234283693903632</v>
      </c>
      <c r="D31">
        <f t="shared" si="5"/>
        <v>0.22744663135696863</v>
      </c>
      <c r="E31">
        <f t="shared" si="6"/>
        <v>0.23168979550784524</v>
      </c>
      <c r="F31">
        <f t="shared" si="7"/>
        <v>0.23617965599929644</v>
      </c>
      <c r="G31">
        <f t="shared" si="8"/>
        <v>0.24094108317614008</v>
      </c>
      <c r="H31">
        <f t="shared" si="9"/>
        <v>0.24600260532558332</v>
      </c>
      <c r="I31">
        <f t="shared" si="10"/>
        <v>0.25139713080830545</v>
      </c>
      <c r="J31" s="46"/>
      <c r="K31">
        <f t="shared" si="11"/>
        <v>1.0098873771409709</v>
      </c>
      <c r="L31">
        <f t="shared" si="12"/>
        <v>290.99904772317075</v>
      </c>
      <c r="M31">
        <f t="shared" si="13"/>
        <v>1.0344148775286774</v>
      </c>
      <c r="N31">
        <f t="shared" si="14"/>
        <v>105287.52957079193</v>
      </c>
      <c r="O31">
        <f t="shared" si="15"/>
        <v>0.77903968191347861</v>
      </c>
      <c r="P31" s="128">
        <f>DATOS!$J$12*O31*$B$16</f>
        <v>353470.74802251766</v>
      </c>
      <c r="Q31" s="66">
        <f t="shared" si="16"/>
        <v>0.97605083367402667</v>
      </c>
      <c r="S31">
        <f t="shared" si="17"/>
        <v>0.86437596108836734</v>
      </c>
      <c r="U31">
        <f t="shared" si="18"/>
        <v>0.66417418851969356</v>
      </c>
      <c r="V31" s="128">
        <f>DATOS!$J$12*U31*$B$16</f>
        <v>301353.2592546143</v>
      </c>
      <c r="W31" s="49">
        <f t="shared" si="19"/>
        <v>0.94221429020708236</v>
      </c>
      <c r="Y31" s="52">
        <f t="shared" si="20"/>
        <v>0.71771369393030671</v>
      </c>
      <c r="AA31">
        <f t="shared" si="21"/>
        <v>0.5499928391270319</v>
      </c>
      <c r="AB31" s="128">
        <f>DATOS!$J$12*AA31*$B$16</f>
        <v>249546.18457401154</v>
      </c>
      <c r="AC31" s="11">
        <f t="shared" si="22"/>
        <v>0.90837774674013794</v>
      </c>
      <c r="AE31" s="11">
        <f t="shared" si="23"/>
        <v>0.59188587309024121</v>
      </c>
      <c r="AG31" s="11">
        <f t="shared" si="24"/>
        <v>0.4522852014759387</v>
      </c>
      <c r="AH31" s="11">
        <f>DATOS!$J$12*AG31*$B$16</f>
        <v>205213.66523017568</v>
      </c>
      <c r="AI31" s="11">
        <f t="shared" si="25"/>
        <v>0.87454120327319373</v>
      </c>
      <c r="AK31" s="11">
        <f t="shared" si="26"/>
        <v>0.48454859215807361</v>
      </c>
      <c r="AM31" s="11">
        <f t="shared" si="27"/>
        <v>0.36916218281226265</v>
      </c>
      <c r="AN31" s="128">
        <f>DATOS!$J$12*AM31*$B$16</f>
        <v>167498.57026508707</v>
      </c>
      <c r="AO31" s="11">
        <f t="shared" si="28"/>
        <v>0.84070465980624931</v>
      </c>
      <c r="AQ31" s="11">
        <f t="shared" si="29"/>
        <v>0.39354731559123812</v>
      </c>
      <c r="AS31" s="11">
        <f t="shared" si="30"/>
        <v>0.2988912467928706</v>
      </c>
      <c r="AT31" s="128">
        <f>DATOS!$J$12*AS31*$B$16</f>
        <v>135614.80247291495</v>
      </c>
      <c r="AU31" s="11">
        <f t="shared" si="31"/>
        <v>0.80686811633930522</v>
      </c>
      <c r="AW31" s="11">
        <f t="shared" si="32"/>
        <v>0.31690803802048428</v>
      </c>
      <c r="AY31" s="11">
        <f t="shared" si="33"/>
        <v>0.23988880525384418</v>
      </c>
      <c r="AZ31" s="128">
        <f>DATOS!$J$12*AY31*$B$16</f>
        <v>108843.84634558538</v>
      </c>
      <c r="BA31" s="11">
        <f t="shared" si="34"/>
        <v>0.77303157287236079</v>
      </c>
      <c r="BC31" s="11">
        <f t="shared" si="35"/>
        <v>0.2528285309928951</v>
      </c>
      <c r="BE31" s="11">
        <f t="shared" si="36"/>
        <v>0.19071269712891001</v>
      </c>
      <c r="BF31" s="128">
        <f>DATOS!$J$12*BE31*$B$16</f>
        <v>86531.355560697208</v>
      </c>
      <c r="BG31">
        <f t="shared" si="38"/>
        <v>1167650.4602568063</v>
      </c>
    </row>
    <row r="32" spans="1:60">
      <c r="A32" s="41">
        <f t="shared" si="39"/>
        <v>80</v>
      </c>
      <c r="B32">
        <f t="shared" si="37"/>
        <v>0.23425687372068463</v>
      </c>
      <c r="C32">
        <f t="shared" si="4"/>
        <v>0.23832359401638742</v>
      </c>
      <c r="D32">
        <f t="shared" si="5"/>
        <v>0.24260974011409986</v>
      </c>
      <c r="E32">
        <f t="shared" si="6"/>
        <v>0.24713578187503493</v>
      </c>
      <c r="F32">
        <f t="shared" si="7"/>
        <v>0.25192496639924949</v>
      </c>
      <c r="G32">
        <f t="shared" si="8"/>
        <v>0.25700382205454941</v>
      </c>
      <c r="H32">
        <f t="shared" si="9"/>
        <v>0.26240277901395553</v>
      </c>
      <c r="I32">
        <f t="shared" si="10"/>
        <v>0.26815693952885916</v>
      </c>
      <c r="J32" s="46"/>
      <c r="K32">
        <f t="shared" si="11"/>
        <v>1.0112496379915048</v>
      </c>
      <c r="L32">
        <f t="shared" si="12"/>
        <v>291.39158318725208</v>
      </c>
      <c r="M32">
        <f t="shared" si="13"/>
        <v>1.0392214074202679</v>
      </c>
      <c r="N32">
        <f t="shared" si="14"/>
        <v>105776.76040948866</v>
      </c>
      <c r="O32">
        <f t="shared" si="15"/>
        <v>0.77253578531020006</v>
      </c>
      <c r="P32" s="128">
        <f>DATOS!$J$12*O32*$B$16</f>
        <v>350519.7594518516</v>
      </c>
      <c r="Q32" s="66">
        <f t="shared" si="16"/>
        <v>0.97741309452456049</v>
      </c>
      <c r="S32">
        <f t="shared" si="17"/>
        <v>0.86853185865682803</v>
      </c>
      <c r="U32">
        <f t="shared" si="18"/>
        <v>0.66077022417367381</v>
      </c>
      <c r="V32" s="128">
        <f>DATOS!$J$12*U32*$B$16</f>
        <v>299808.79130058875</v>
      </c>
      <c r="W32" s="49">
        <f t="shared" si="19"/>
        <v>0.94357655105761618</v>
      </c>
      <c r="Y32" s="52">
        <f t="shared" si="20"/>
        <v>0.72128858384806849</v>
      </c>
      <c r="AA32">
        <f t="shared" si="21"/>
        <v>0.54720442442800532</v>
      </c>
      <c r="AB32" s="128">
        <f>DATOS!$J$12*AA32*$B$16</f>
        <v>248281.00764869625</v>
      </c>
      <c r="AC32" s="11">
        <f t="shared" si="22"/>
        <v>0.90974000759067175</v>
      </c>
      <c r="AE32" s="11">
        <f t="shared" si="23"/>
        <v>0.59494403959759412</v>
      </c>
      <c r="AG32" s="11">
        <f t="shared" si="24"/>
        <v>0.45002013952787473</v>
      </c>
      <c r="AH32" s="11">
        <f>DATOS!$J$12*AG32*$B$16</f>
        <v>204185.9471823184</v>
      </c>
      <c r="AI32" s="11">
        <f t="shared" si="25"/>
        <v>0.87590346412372733</v>
      </c>
      <c r="AK32" s="11">
        <f t="shared" si="26"/>
        <v>0.4871492152722795</v>
      </c>
      <c r="AM32" s="11">
        <f t="shared" si="27"/>
        <v>0.36733904317820559</v>
      </c>
      <c r="AN32" s="128">
        <f>DATOS!$J$12*AM32*$B$16</f>
        <v>166671.36396846198</v>
      </c>
      <c r="AO32" s="11">
        <f t="shared" si="28"/>
        <v>0.84206692065678301</v>
      </c>
      <c r="AQ32" s="11">
        <f t="shared" si="29"/>
        <v>0.39574470510719345</v>
      </c>
      <c r="AS32" s="11">
        <f t="shared" si="30"/>
        <v>0.29743848811799761</v>
      </c>
      <c r="AT32" s="128">
        <f>DATOS!$J$12*AS32*$B$16</f>
        <v>134955.64773737919</v>
      </c>
      <c r="AU32" s="11">
        <f t="shared" si="31"/>
        <v>0.80823037718983903</v>
      </c>
      <c r="AW32" s="11">
        <f t="shared" si="32"/>
        <v>0.31875186524060317</v>
      </c>
      <c r="AY32" s="11">
        <f t="shared" si="33"/>
        <v>0.23874393604508198</v>
      </c>
      <c r="AZ32" s="128">
        <f>DATOS!$J$12*AY32*$B$16</f>
        <v>108324.38914076731</v>
      </c>
      <c r="BA32" s="11">
        <f t="shared" si="34"/>
        <v>0.77439383372289461</v>
      </c>
      <c r="BC32" s="11">
        <f t="shared" si="35"/>
        <v>0.25436405811960699</v>
      </c>
      <c r="BE32" s="11">
        <f t="shared" si="36"/>
        <v>0.18982147461540641</v>
      </c>
      <c r="BF32" s="128">
        <f>DATOS!$J$12*BE32*$B$16</f>
        <v>86126.984517968202</v>
      </c>
      <c r="BG32">
        <f t="shared" si="38"/>
        <v>1168007.2504954175</v>
      </c>
    </row>
    <row r="33" spans="1:59">
      <c r="A33" s="41">
        <f t="shared" si="39"/>
        <v>85</v>
      </c>
      <c r="B33">
        <f t="shared" si="37"/>
        <v>0.24889792832822741</v>
      </c>
      <c r="C33">
        <f t="shared" si="4"/>
        <v>0.25321881864241164</v>
      </c>
      <c r="D33">
        <f t="shared" si="5"/>
        <v>0.25777284887123109</v>
      </c>
      <c r="E33">
        <f t="shared" si="6"/>
        <v>0.26258176824222462</v>
      </c>
      <c r="F33">
        <f t="shared" si="7"/>
        <v>0.26767027679920263</v>
      </c>
      <c r="G33">
        <f t="shared" si="8"/>
        <v>0.27306656093295878</v>
      </c>
      <c r="H33">
        <f t="shared" si="9"/>
        <v>0.27880295270232774</v>
      </c>
      <c r="I33">
        <f t="shared" si="10"/>
        <v>0.28491674824941282</v>
      </c>
      <c r="J33" s="46"/>
      <c r="K33">
        <f t="shared" si="11"/>
        <v>1.0126997866388472</v>
      </c>
      <c r="L33">
        <f t="shared" si="12"/>
        <v>291.8094435199838</v>
      </c>
      <c r="M33">
        <f t="shared" si="13"/>
        <v>1.0443554189035227</v>
      </c>
      <c r="N33">
        <f t="shared" si="14"/>
        <v>106299.32383892366</v>
      </c>
      <c r="O33">
        <f t="shared" si="15"/>
        <v>0.7663018768782548</v>
      </c>
      <c r="P33" s="128">
        <f>DATOS!$J$12*O33*$B$16</f>
        <v>347691.27159981907</v>
      </c>
      <c r="Q33" s="66">
        <f t="shared" si="16"/>
        <v>0.97886324317190276</v>
      </c>
      <c r="S33">
        <f t="shared" si="17"/>
        <v>0.87297142973450725</v>
      </c>
      <c r="U33">
        <f t="shared" si="18"/>
        <v>0.65772096404871483</v>
      </c>
      <c r="V33" s="128">
        <f>DATOS!$J$12*U33*$B$16</f>
        <v>298425.26196016144</v>
      </c>
      <c r="W33" s="49">
        <f t="shared" si="19"/>
        <v>0.94502669970495845</v>
      </c>
      <c r="Y33" s="52">
        <f t="shared" si="20"/>
        <v>0.72510796938334809</v>
      </c>
      <c r="AA33">
        <f t="shared" si="21"/>
        <v>0.54471594013640434</v>
      </c>
      <c r="AB33" s="128">
        <f>DATOS!$J$12*AA33*$B$16</f>
        <v>247151.91702030363</v>
      </c>
      <c r="AC33" s="11">
        <f t="shared" si="22"/>
        <v>0.91119015623801403</v>
      </c>
      <c r="AE33" s="11">
        <f t="shared" si="23"/>
        <v>0.59821180346258607</v>
      </c>
      <c r="AG33" s="11">
        <f t="shared" si="24"/>
        <v>0.44800716570597915</v>
      </c>
      <c r="AH33" s="11">
        <f>DATOS!$J$12*AG33*$B$16</f>
        <v>203272.60813285236</v>
      </c>
      <c r="AI33" s="11">
        <f t="shared" si="25"/>
        <v>0.87735361277106994</v>
      </c>
      <c r="AK33" s="11">
        <f t="shared" si="26"/>
        <v>0.48992848185171106</v>
      </c>
      <c r="AM33" s="11">
        <f t="shared" si="27"/>
        <v>0.36572640962163477</v>
      </c>
      <c r="AN33" s="128">
        <f>DATOS!$J$12*AM33*$B$16</f>
        <v>165939.66980350338</v>
      </c>
      <c r="AO33" s="11">
        <f t="shared" si="28"/>
        <v>0.84351706930412551</v>
      </c>
      <c r="AQ33" s="11">
        <f t="shared" si="29"/>
        <v>0.39809340845268126</v>
      </c>
      <c r="AS33" s="11">
        <f t="shared" si="30"/>
        <v>0.29616028618619999</v>
      </c>
      <c r="AT33" s="128">
        <f>DATOS!$J$12*AS33*$B$16</f>
        <v>134375.69397706931</v>
      </c>
      <c r="AU33" s="11">
        <f t="shared" si="31"/>
        <v>0.80968052583718131</v>
      </c>
      <c r="AW33" s="11">
        <f t="shared" si="32"/>
        <v>0.32072299580928709</v>
      </c>
      <c r="AY33" s="11">
        <f t="shared" si="33"/>
        <v>0.23774272183403911</v>
      </c>
      <c r="AZ33" s="128">
        <f>DATOS!$J$12*AY33*$B$16</f>
        <v>107870.11197835262</v>
      </c>
      <c r="BA33" s="11">
        <f t="shared" si="34"/>
        <v>0.77584398237023711</v>
      </c>
      <c r="BC33" s="11">
        <f t="shared" si="35"/>
        <v>0.2560059070263474</v>
      </c>
      <c r="BE33" s="11">
        <f t="shared" si="36"/>
        <v>0.18904750881892557</v>
      </c>
      <c r="BF33" s="128">
        <f>DATOS!$J$12*BE33*$B$16</f>
        <v>85775.815924920462</v>
      </c>
      <c r="BG33">
        <f t="shared" si="38"/>
        <v>1168317.098414449</v>
      </c>
    </row>
    <row r="34" spans="1:59">
      <c r="A34" s="41">
        <f t="shared" si="39"/>
        <v>90</v>
      </c>
      <c r="B34">
        <f t="shared" si="37"/>
        <v>0.26353898293577022</v>
      </c>
      <c r="C34">
        <f t="shared" si="4"/>
        <v>0.26811404326843585</v>
      </c>
      <c r="D34">
        <f t="shared" si="5"/>
        <v>0.27293595762836237</v>
      </c>
      <c r="E34">
        <f t="shared" si="6"/>
        <v>0.27802775460941431</v>
      </c>
      <c r="F34">
        <f t="shared" si="7"/>
        <v>0.28341558719915572</v>
      </c>
      <c r="G34">
        <f t="shared" si="8"/>
        <v>0.28912929981136809</v>
      </c>
      <c r="H34">
        <f t="shared" si="9"/>
        <v>0.29520312639070001</v>
      </c>
      <c r="I34">
        <f t="shared" si="10"/>
        <v>0.30167655696996654</v>
      </c>
      <c r="J34" s="46"/>
      <c r="K34">
        <f t="shared" si="11"/>
        <v>1.014237823082998</v>
      </c>
      <c r="L34">
        <f t="shared" si="12"/>
        <v>292.25262872136585</v>
      </c>
      <c r="M34">
        <f t="shared" si="13"/>
        <v>1.0498202117048105</v>
      </c>
      <c r="N34">
        <f t="shared" si="14"/>
        <v>106855.55572050533</v>
      </c>
      <c r="O34">
        <f t="shared" si="15"/>
        <v>0.76031449366662207</v>
      </c>
      <c r="P34" s="128">
        <f>DATOS!$J$12*O34*$B$16</f>
        <v>344974.63870980369</v>
      </c>
      <c r="Q34" s="66">
        <f t="shared" si="16"/>
        <v>0.98040127961605394</v>
      </c>
      <c r="S34">
        <f t="shared" si="17"/>
        <v>0.87769762757627279</v>
      </c>
      <c r="U34">
        <f t="shared" si="18"/>
        <v>0.65500759156333077</v>
      </c>
      <c r="V34" s="128">
        <f>DATOS!$J$12*U34*$B$16</f>
        <v>297194.13365650852</v>
      </c>
      <c r="W34" s="49">
        <f t="shared" si="19"/>
        <v>0.94656473614910941</v>
      </c>
      <c r="Y34" s="52">
        <f t="shared" si="20"/>
        <v>0.72917448337523294</v>
      </c>
      <c r="AA34">
        <f t="shared" si="21"/>
        <v>0.5425116214506106</v>
      </c>
      <c r="AB34" s="128">
        <f>DATOS!$J$12*AA34*$B$16</f>
        <v>246151.75978462372</v>
      </c>
      <c r="AC34" s="11">
        <f t="shared" si="22"/>
        <v>0.91272819268216521</v>
      </c>
      <c r="AE34" s="11">
        <f t="shared" si="23"/>
        <v>0.60169150203528554</v>
      </c>
      <c r="AG34" s="11">
        <f t="shared" si="24"/>
        <v>0.44623315916581141</v>
      </c>
      <c r="AH34" s="11">
        <f>DATOS!$J$12*AG34*$B$16</f>
        <v>202467.69481032461</v>
      </c>
      <c r="AI34" s="11">
        <f t="shared" si="25"/>
        <v>0.87889164921522089</v>
      </c>
      <c r="AK34" s="11">
        <f t="shared" si="26"/>
        <v>0.49288845756554467</v>
      </c>
      <c r="AM34" s="11">
        <f t="shared" si="27"/>
        <v>0.36431343953481399</v>
      </c>
      <c r="AN34" s="128">
        <f>DATOS!$J$12*AM34*$B$16</f>
        <v>165298.56819453879</v>
      </c>
      <c r="AO34" s="11">
        <f t="shared" si="28"/>
        <v>0.84505510574827669</v>
      </c>
      <c r="AQ34" s="11">
        <f t="shared" si="29"/>
        <v>0.40059524231610116</v>
      </c>
      <c r="AS34" s="11">
        <f t="shared" si="30"/>
        <v>0.2950477500247507</v>
      </c>
      <c r="AT34" s="128">
        <f>DATOS!$J$12*AS34*$B$16</f>
        <v>133870.90712433326</v>
      </c>
      <c r="AU34" s="11">
        <f t="shared" si="31"/>
        <v>0.81121856228133227</v>
      </c>
      <c r="AW34" s="11">
        <f t="shared" si="32"/>
        <v>0.32282301903717681</v>
      </c>
      <c r="AY34" s="11">
        <f t="shared" si="33"/>
        <v>0.23687793292530779</v>
      </c>
      <c r="AZ34" s="128">
        <f>DATOS!$J$12*AY34*$B$16</f>
        <v>107477.73455580589</v>
      </c>
      <c r="BA34" s="11">
        <f t="shared" si="34"/>
        <v>0.77738201881438818</v>
      </c>
      <c r="BC34" s="11">
        <f t="shared" si="35"/>
        <v>0.25775546016316458</v>
      </c>
      <c r="BE34" s="11">
        <f t="shared" si="36"/>
        <v>0.18838497444158661</v>
      </c>
      <c r="BF34" s="128">
        <f>DATOS!$J$12*BE34*$B$16</f>
        <v>85475.206691032101</v>
      </c>
      <c r="BG34">
        <f t="shared" si="38"/>
        <v>1168582.3361020042</v>
      </c>
    </row>
    <row r="35" spans="1:59">
      <c r="A35" s="41">
        <f t="shared" si="39"/>
        <v>95</v>
      </c>
      <c r="B35">
        <f t="shared" si="37"/>
        <v>0.278180037543313</v>
      </c>
      <c r="C35">
        <f t="shared" si="4"/>
        <v>0.28300926789446007</v>
      </c>
      <c r="D35">
        <f t="shared" si="5"/>
        <v>0.2880990663854936</v>
      </c>
      <c r="E35">
        <f t="shared" si="6"/>
        <v>0.29347374097660395</v>
      </c>
      <c r="F35">
        <f t="shared" si="7"/>
        <v>0.2991608975991088</v>
      </c>
      <c r="G35">
        <f t="shared" si="8"/>
        <v>0.30519203868977746</v>
      </c>
      <c r="H35">
        <f t="shared" si="9"/>
        <v>0.31160330007907222</v>
      </c>
      <c r="I35">
        <f t="shared" si="10"/>
        <v>0.31843636569052025</v>
      </c>
      <c r="J35" s="46"/>
      <c r="K35">
        <f t="shared" si="11"/>
        <v>1.0158637473239578</v>
      </c>
      <c r="L35">
        <f t="shared" si="12"/>
        <v>292.7211387913984</v>
      </c>
      <c r="M35">
        <f t="shared" si="13"/>
        <v>1.0556192978179524</v>
      </c>
      <c r="N35">
        <f t="shared" si="14"/>
        <v>107445.81352120489</v>
      </c>
      <c r="O35">
        <f t="shared" si="15"/>
        <v>0.75455285484320334</v>
      </c>
      <c r="P35" s="128">
        <f>DATOS!$J$12*O35*$B$16</f>
        <v>342360.43197293096</v>
      </c>
      <c r="Q35" s="66">
        <f t="shared" si="16"/>
        <v>0.98202720385701348</v>
      </c>
      <c r="S35">
        <f t="shared" si="17"/>
        <v>0.88271359579323183</v>
      </c>
      <c r="U35">
        <f t="shared" si="18"/>
        <v>0.65261380450985174</v>
      </c>
      <c r="V35" s="128">
        <f>DATOS!$J$12*U35*$B$16</f>
        <v>296108.00965019141</v>
      </c>
      <c r="W35" s="49">
        <f t="shared" si="19"/>
        <v>0.94819066039006927</v>
      </c>
      <c r="Y35" s="52">
        <f t="shared" si="20"/>
        <v>0.73349092872604948</v>
      </c>
      <c r="AA35">
        <f t="shared" si="21"/>
        <v>0.54057781419275985</v>
      </c>
      <c r="AB35" s="128">
        <f>DATOS!$J$12*AA35*$B$16</f>
        <v>245274.34068283299</v>
      </c>
      <c r="AC35" s="11">
        <f t="shared" si="22"/>
        <v>0.91435411692312485</v>
      </c>
      <c r="AE35" s="11">
        <f t="shared" si="23"/>
        <v>0.60538562398542772</v>
      </c>
      <c r="AG35" s="11">
        <f t="shared" si="24"/>
        <v>0.44468675961019932</v>
      </c>
      <c r="AH35" s="11">
        <f>DATOS!$J$12*AG35*$B$16</f>
        <v>201766.05274977986</v>
      </c>
      <c r="AI35" s="11">
        <f t="shared" si="25"/>
        <v>0.88051757345618054</v>
      </c>
      <c r="AK35" s="11">
        <f t="shared" si="26"/>
        <v>0.49603134214032807</v>
      </c>
      <c r="AM35" s="11">
        <f t="shared" si="27"/>
        <v>0.363090748906994</v>
      </c>
      <c r="AN35" s="128">
        <f>DATOS!$J$12*AM35*$B$16</f>
        <v>164743.80136962674</v>
      </c>
      <c r="AO35" s="11">
        <f t="shared" si="28"/>
        <v>0.84668102998923622</v>
      </c>
      <c r="AQ35" s="11">
        <f t="shared" si="29"/>
        <v>0.4032521415946731</v>
      </c>
      <c r="AS35" s="11">
        <f t="shared" si="30"/>
        <v>0.29409318828361891</v>
      </c>
      <c r="AT35" s="128">
        <f>DATOS!$J$12*AS35*$B$16</f>
        <v>133437.797411818</v>
      </c>
      <c r="AU35" s="11">
        <f t="shared" si="31"/>
        <v>0.81284448652229202</v>
      </c>
      <c r="AW35" s="11">
        <f t="shared" si="32"/>
        <v>0.32505362794205694</v>
      </c>
      <c r="AY35" s="11">
        <f t="shared" si="33"/>
        <v>0.23614331847998529</v>
      </c>
      <c r="AZ35" s="128">
        <f>DATOS!$J$12*AY35*$B$16</f>
        <v>107144.42070347619</v>
      </c>
      <c r="BA35" s="11">
        <f t="shared" si="34"/>
        <v>0.77900794305534771</v>
      </c>
      <c r="BC35" s="11">
        <f t="shared" si="35"/>
        <v>0.25961419046624357</v>
      </c>
      <c r="BE35" s="11">
        <f t="shared" si="36"/>
        <v>0.18782883808351156</v>
      </c>
      <c r="BF35" s="128">
        <f>DATOS!$J$12*BE35*$B$16</f>
        <v>85222.873030687013</v>
      </c>
      <c r="BG35">
        <f t="shared" si="38"/>
        <v>1168804.9786193231</v>
      </c>
    </row>
    <row r="36" spans="1:59">
      <c r="A36" s="41">
        <f t="shared" si="39"/>
        <v>100</v>
      </c>
      <c r="B36">
        <f t="shared" si="37"/>
        <v>0.29282109215085578</v>
      </c>
      <c r="C36">
        <f t="shared" si="4"/>
        <v>0.29790449252048429</v>
      </c>
      <c r="D36">
        <f t="shared" si="5"/>
        <v>0.30326217514262482</v>
      </c>
      <c r="E36">
        <f t="shared" si="6"/>
        <v>0.30891972734379364</v>
      </c>
      <c r="F36">
        <f t="shared" si="7"/>
        <v>0.31490620799906188</v>
      </c>
      <c r="G36">
        <f t="shared" si="8"/>
        <v>0.32125477756818677</v>
      </c>
      <c r="H36">
        <f t="shared" si="9"/>
        <v>0.32800347376744443</v>
      </c>
      <c r="I36">
        <f t="shared" si="10"/>
        <v>0.33519617441107391</v>
      </c>
      <c r="J36" s="46"/>
      <c r="K36">
        <f t="shared" si="11"/>
        <v>1.017577559361726</v>
      </c>
      <c r="L36">
        <f t="shared" si="12"/>
        <v>293.21497373008134</v>
      </c>
      <c r="M36">
        <f t="shared" si="13"/>
        <v>1.0617564036847609</v>
      </c>
      <c r="N36">
        <f t="shared" si="14"/>
        <v>108070.47653550186</v>
      </c>
      <c r="O36">
        <f t="shared" si="15"/>
        <v>0.74899834931800935</v>
      </c>
      <c r="P36" s="128">
        <f>DATOS!$J$12*O36*$B$16</f>
        <v>339840.20704926195</v>
      </c>
      <c r="Q36" s="66">
        <f t="shared" si="16"/>
        <v>0.98374101589478169</v>
      </c>
      <c r="S36">
        <f t="shared" si="17"/>
        <v>0.88802267037162919</v>
      </c>
      <c r="U36">
        <f t="shared" si="18"/>
        <v>0.6505253798416829</v>
      </c>
      <c r="V36" s="128">
        <f>DATOS!$J$12*U36*$B$16</f>
        <v>295160.4365717147</v>
      </c>
      <c r="W36" s="49">
        <f t="shared" si="19"/>
        <v>0.9499044724278376</v>
      </c>
      <c r="Y36" s="52">
        <f t="shared" si="20"/>
        <v>0.73806028026550696</v>
      </c>
      <c r="AA36">
        <f t="shared" si="21"/>
        <v>0.53890261029654918</v>
      </c>
      <c r="AB36" s="128">
        <f>DATOS!$J$12*AA36*$B$16</f>
        <v>244514.25671274634</v>
      </c>
      <c r="AC36" s="11">
        <f t="shared" si="22"/>
        <v>0.91606792896089317</v>
      </c>
      <c r="AE36" s="11">
        <f t="shared" si="23"/>
        <v>0.60929681101864985</v>
      </c>
      <c r="AG36" s="11">
        <f t="shared" si="24"/>
        <v>0.44335806397101074</v>
      </c>
      <c r="AH36" s="11">
        <f>DATOS!$J$12*AG36*$B$16</f>
        <v>201163.18866932034</v>
      </c>
      <c r="AI36" s="11">
        <f t="shared" si="25"/>
        <v>0.88223138549394875</v>
      </c>
      <c r="AK36" s="11">
        <f t="shared" si="26"/>
        <v>0.49935947093507477</v>
      </c>
      <c r="AM36" s="11">
        <f t="shared" si="27"/>
        <v>0.36205016168693854</v>
      </c>
      <c r="AN36" s="128">
        <f>DATOS!$J$12*AM36*$B$16</f>
        <v>164271.65963975716</v>
      </c>
      <c r="AO36" s="11">
        <f t="shared" si="28"/>
        <v>0.84839484202700455</v>
      </c>
      <c r="AQ36" s="11">
        <f t="shared" si="29"/>
        <v>0.40606616083510538</v>
      </c>
      <c r="AS36" s="11">
        <f t="shared" si="30"/>
        <v>0.29328990368708685</v>
      </c>
      <c r="AT36" s="128">
        <f>DATOS!$J$12*AS36*$B$16</f>
        <v>133073.32610977374</v>
      </c>
      <c r="AU36" s="11">
        <f t="shared" si="31"/>
        <v>0.81455829856006035</v>
      </c>
      <c r="AW36" s="11">
        <f t="shared" si="32"/>
        <v>0.32741662056173426</v>
      </c>
      <c r="AY36" s="11">
        <f t="shared" si="33"/>
        <v>0.23553343931712278</v>
      </c>
      <c r="AZ36" s="128">
        <f>DATOS!$J$12*AY36*$B$16</f>
        <v>106867.70252222659</v>
      </c>
      <c r="BA36" s="11">
        <f t="shared" si="34"/>
        <v>0.78072175509311603</v>
      </c>
      <c r="BC36" s="11">
        <f t="shared" si="35"/>
        <v>0.26158366254956789</v>
      </c>
      <c r="BE36" s="11">
        <f t="shared" si="36"/>
        <v>0.18737472344082623</v>
      </c>
      <c r="BF36" s="128">
        <f>DATOS!$J$12*BE36*$B$16</f>
        <v>85016.829299970108</v>
      </c>
      <c r="BG36">
        <f t="shared" si="38"/>
        <v>1168986.7779671466</v>
      </c>
    </row>
    <row r="37" spans="1:59">
      <c r="A37" s="41">
        <f t="shared" si="39"/>
        <v>105</v>
      </c>
      <c r="B37">
        <f t="shared" si="37"/>
        <v>0.30746214675839856</v>
      </c>
      <c r="C37">
        <f t="shared" si="4"/>
        <v>0.3127997171465085</v>
      </c>
      <c r="D37">
        <f t="shared" si="5"/>
        <v>0.31842528389975605</v>
      </c>
      <c r="E37">
        <f t="shared" si="6"/>
        <v>0.32436571371098333</v>
      </c>
      <c r="F37">
        <f t="shared" si="7"/>
        <v>0.33065151839901502</v>
      </c>
      <c r="G37">
        <f t="shared" si="8"/>
        <v>0.33731751644659613</v>
      </c>
      <c r="H37">
        <f t="shared" si="9"/>
        <v>0.34440364745581664</v>
      </c>
      <c r="I37">
        <f t="shared" si="10"/>
        <v>0.35195598313162763</v>
      </c>
      <c r="J37" s="46"/>
      <c r="K37">
        <f t="shared" si="11"/>
        <v>1.0193792591963031</v>
      </c>
      <c r="L37">
        <f t="shared" si="12"/>
        <v>293.73413353741472</v>
      </c>
      <c r="M37">
        <f t="shared" si="13"/>
        <v>1.0682354725038248</v>
      </c>
      <c r="N37">
        <f t="shared" si="14"/>
        <v>108729.94612038268</v>
      </c>
      <c r="O37">
        <f t="shared" si="15"/>
        <v>0.74363413636218945</v>
      </c>
      <c r="P37" s="128">
        <f>DATOS!$J$12*O37*$B$16</f>
        <v>337406.32285816589</v>
      </c>
      <c r="Q37" s="66">
        <f t="shared" si="16"/>
        <v>0.98554271572935881</v>
      </c>
      <c r="S37">
        <f t="shared" si="17"/>
        <v>0.89362838181058435</v>
      </c>
      <c r="U37">
        <f t="shared" si="18"/>
        <v>0.64872983422728037</v>
      </c>
      <c r="V37" s="128">
        <f>DATOS!$J$12*U37*$B$16</f>
        <v>294345.7504059567</v>
      </c>
      <c r="W37" s="49">
        <f t="shared" si="19"/>
        <v>0.95170617226241438</v>
      </c>
      <c r="Y37" s="52">
        <f t="shared" si="20"/>
        <v>0.74288568672469246</v>
      </c>
      <c r="AA37">
        <f t="shared" si="21"/>
        <v>0.53747556346455017</v>
      </c>
      <c r="AB37" s="128">
        <f>DATOS!$J$12*AA37*$B$16</f>
        <v>243866.76811507836</v>
      </c>
      <c r="AC37" s="11">
        <f t="shared" si="22"/>
        <v>0.91786962879547018</v>
      </c>
      <c r="AE37" s="11">
        <f t="shared" si="23"/>
        <v>0.61342785969396818</v>
      </c>
      <c r="AG37" s="11">
        <f t="shared" si="24"/>
        <v>0.44223838976580238</v>
      </c>
      <c r="AH37" s="11">
        <f>DATOS!$J$12*AG37*$B$16</f>
        <v>200655.16309880713</v>
      </c>
      <c r="AI37" s="11">
        <f t="shared" si="25"/>
        <v>0.88403308532852576</v>
      </c>
      <c r="AK37" s="11">
        <f t="shared" si="26"/>
        <v>0.50287531660938944</v>
      </c>
      <c r="AM37" s="11">
        <f t="shared" si="27"/>
        <v>0.36118451420804426</v>
      </c>
      <c r="AN37" s="128">
        <f>DATOS!$J$12*AM37*$B$16</f>
        <v>163878.89266139604</v>
      </c>
      <c r="AO37" s="11">
        <f t="shared" si="28"/>
        <v>0.85019654186158145</v>
      </c>
      <c r="AQ37" s="11">
        <f t="shared" si="29"/>
        <v>0.40903947575945693</v>
      </c>
      <c r="AS37" s="11">
        <f t="shared" si="30"/>
        <v>0.29263203261372367</v>
      </c>
      <c r="AT37" s="128">
        <f>DATOS!$J$12*AS37*$B$16</f>
        <v>132774.8327392783</v>
      </c>
      <c r="AU37" s="11">
        <f t="shared" si="31"/>
        <v>0.81635999839463724</v>
      </c>
      <c r="AW37" s="11">
        <f t="shared" si="32"/>
        <v>0.3299139013446647</v>
      </c>
      <c r="AY37" s="11">
        <f t="shared" si="33"/>
        <v>0.23504353739842124</v>
      </c>
      <c r="AZ37" s="128">
        <f>DATOS!$J$12*AY37*$B$16</f>
        <v>106645.42116521565</v>
      </c>
      <c r="BA37" s="11">
        <f t="shared" si="34"/>
        <v>0.78252345492769293</v>
      </c>
      <c r="BC37" s="11">
        <f t="shared" si="35"/>
        <v>0.26366553396725401</v>
      </c>
      <c r="BE37" s="11">
        <f t="shared" si="36"/>
        <v>0.18701880605675214</v>
      </c>
      <c r="BF37" s="128">
        <f>DATOS!$J$12*BE37*$B$16</f>
        <v>84855.340242475781</v>
      </c>
      <c r="BG37">
        <f t="shared" si="38"/>
        <v>1169129.2652208519</v>
      </c>
    </row>
    <row r="38" spans="1:59">
      <c r="A38" s="41">
        <f t="shared" si="39"/>
        <v>110</v>
      </c>
      <c r="B38">
        <f t="shared" si="37"/>
        <v>0.32210320136594134</v>
      </c>
      <c r="C38">
        <f t="shared" si="4"/>
        <v>0.32769494177253272</v>
      </c>
      <c r="D38">
        <f t="shared" si="5"/>
        <v>0.33358839265688733</v>
      </c>
      <c r="E38">
        <f t="shared" si="6"/>
        <v>0.33981170007817302</v>
      </c>
      <c r="F38">
        <f t="shared" si="7"/>
        <v>0.3463968287989681</v>
      </c>
      <c r="G38">
        <f t="shared" si="8"/>
        <v>0.35338025532500544</v>
      </c>
      <c r="H38">
        <f t="shared" si="9"/>
        <v>0.36080382114418885</v>
      </c>
      <c r="I38">
        <f t="shared" si="10"/>
        <v>0.36871579185218134</v>
      </c>
      <c r="J38" s="46"/>
      <c r="K38">
        <f t="shared" si="11"/>
        <v>1.0212688468276885</v>
      </c>
      <c r="L38">
        <f t="shared" si="12"/>
        <v>294.27861821339843</v>
      </c>
      <c r="M38">
        <f t="shared" si="13"/>
        <v>1.0750606666681151</v>
      </c>
      <c r="N38">
        <f t="shared" si="14"/>
        <v>109424.64594345167</v>
      </c>
      <c r="O38">
        <f t="shared" si="15"/>
        <v>0.73844482989708315</v>
      </c>
      <c r="P38" s="128">
        <f>DATOS!$J$12*O38*$B$16</f>
        <v>335051.79833197762</v>
      </c>
      <c r="Q38" s="66">
        <f t="shared" si="16"/>
        <v>0.98743230336074428</v>
      </c>
      <c r="S38">
        <f t="shared" si="17"/>
        <v>0.89953445737924165</v>
      </c>
      <c r="U38">
        <f t="shared" si="18"/>
        <v>0.64721615565021406</v>
      </c>
      <c r="V38" s="128">
        <f>DATOS!$J$12*U38*$B$16</f>
        <v>293658.95471207483</v>
      </c>
      <c r="W38" s="49">
        <f t="shared" si="19"/>
        <v>0.95359575989379985</v>
      </c>
      <c r="Y38" s="52">
        <f t="shared" si="20"/>
        <v>0.74797047282045581</v>
      </c>
      <c r="AA38">
        <f t="shared" si="21"/>
        <v>0.53628746430473484</v>
      </c>
      <c r="AB38" s="128">
        <f>DATOS!$J$12*AA38*$B$16</f>
        <v>243327.6963469839</v>
      </c>
      <c r="AC38" s="11">
        <f t="shared" si="22"/>
        <v>0.91975921642685565</v>
      </c>
      <c r="AE38" s="11">
        <f t="shared" si="23"/>
        <v>0.61778172334301906</v>
      </c>
      <c r="AG38" s="11">
        <f t="shared" si="24"/>
        <v>0.44132008792554395</v>
      </c>
      <c r="AH38" s="11">
        <f>DATOS!$J$12*AG38*$B$16</f>
        <v>200238.5054548867</v>
      </c>
      <c r="AI38" s="11">
        <f t="shared" si="25"/>
        <v>0.88592267295991123</v>
      </c>
      <c r="AK38" s="11">
        <f t="shared" si="26"/>
        <v>0.50658149088511417</v>
      </c>
      <c r="AM38" s="11">
        <f t="shared" si="27"/>
        <v>0.36048750047189376</v>
      </c>
      <c r="AN38" s="128">
        <f>DATOS!$J$12*AM38*$B$16</f>
        <v>163562.63923757305</v>
      </c>
      <c r="AO38" s="11">
        <f t="shared" si="28"/>
        <v>0.85208612949296691</v>
      </c>
      <c r="AQ38" s="11">
        <f t="shared" si="29"/>
        <v>0.41217438487667107</v>
      </c>
      <c r="AS38" s="11">
        <f t="shared" si="30"/>
        <v>0.29211441816625633</v>
      </c>
      <c r="AT38" s="128">
        <f>DATOS!$J$12*AS38*$B$16</f>
        <v>132539.97748070644</v>
      </c>
      <c r="AU38" s="11">
        <f t="shared" si="31"/>
        <v>0.81824958602602271</v>
      </c>
      <c r="AW38" s="11">
        <f t="shared" si="32"/>
        <v>0.33254748261877271</v>
      </c>
      <c r="AY38" s="11">
        <f t="shared" si="33"/>
        <v>0.23466943253836589</v>
      </c>
      <c r="AZ38" s="128">
        <f>DATOS!$J$12*AY38*$B$16</f>
        <v>106475.6799725747</v>
      </c>
      <c r="BA38" s="11">
        <f t="shared" si="34"/>
        <v>0.7844130425590784</v>
      </c>
      <c r="BC38" s="11">
        <f t="shared" si="35"/>
        <v>0.26586155654698634</v>
      </c>
      <c r="BE38" s="11">
        <f t="shared" si="36"/>
        <v>0.18675773000868703</v>
      </c>
      <c r="BF38" s="128">
        <f>DATOS!$J$12*BE38*$B$16</f>
        <v>84736.88318804992</v>
      </c>
      <c r="BG38">
        <f t="shared" si="38"/>
        <v>1169233.7838837823</v>
      </c>
    </row>
    <row r="39" spans="1:59">
      <c r="A39" s="41">
        <f t="shared" si="39"/>
        <v>115</v>
      </c>
      <c r="B39">
        <f t="shared" si="37"/>
        <v>0.33674425597348412</v>
      </c>
      <c r="C39">
        <f t="shared" si="4"/>
        <v>0.34259016639855688</v>
      </c>
      <c r="D39">
        <f t="shared" si="5"/>
        <v>0.34875150141401856</v>
      </c>
      <c r="E39">
        <f t="shared" si="6"/>
        <v>0.35525768644536271</v>
      </c>
      <c r="F39">
        <f t="shared" si="7"/>
        <v>0.36214213919892119</v>
      </c>
      <c r="G39">
        <f t="shared" si="8"/>
        <v>0.36944299420341481</v>
      </c>
      <c r="H39">
        <f t="shared" si="9"/>
        <v>0.37720399483256112</v>
      </c>
      <c r="I39">
        <f t="shared" si="10"/>
        <v>0.385475600572735</v>
      </c>
      <c r="J39" s="46"/>
      <c r="K39">
        <f t="shared" si="11"/>
        <v>1.0232463222558827</v>
      </c>
      <c r="L39">
        <f t="shared" si="12"/>
        <v>294.84842775803259</v>
      </c>
      <c r="M39">
        <f t="shared" si="13"/>
        <v>1.0822363703320694</v>
      </c>
      <c r="N39">
        <f t="shared" si="14"/>
        <v>110155.0222442207</v>
      </c>
      <c r="O39">
        <f t="shared" si="15"/>
        <v>0.73341624570054631</v>
      </c>
      <c r="P39" s="128">
        <f>DATOS!$J$12*O39*$B$16</f>
        <v>332770.19771687372</v>
      </c>
      <c r="Q39" s="66">
        <f t="shared" si="16"/>
        <v>0.98940977878893843</v>
      </c>
      <c r="S39">
        <f t="shared" si="17"/>
        <v>0.90574482349394891</v>
      </c>
      <c r="U39">
        <f t="shared" si="18"/>
        <v>0.645974588555431</v>
      </c>
      <c r="V39" s="128">
        <f>DATOS!$J$12*U39*$B$16</f>
        <v>293095.62313872651</v>
      </c>
      <c r="W39" s="49">
        <f t="shared" si="19"/>
        <v>0.95557323532199423</v>
      </c>
      <c r="Y39" s="52">
        <f t="shared" si="20"/>
        <v>0.75331814145076892</v>
      </c>
      <c r="AA39">
        <f t="shared" si="21"/>
        <v>0.53533016029884772</v>
      </c>
      <c r="AB39" s="128">
        <f>DATOS!$J$12*AA39*$B$16</f>
        <v>242893.34239698388</v>
      </c>
      <c r="AC39" s="11">
        <f t="shared" si="22"/>
        <v>0.92173669185504992</v>
      </c>
      <c r="AE39" s="11">
        <f t="shared" si="23"/>
        <v>0.62236151409161533</v>
      </c>
      <c r="AG39" s="11">
        <f t="shared" si="24"/>
        <v>0.44059639291371272</v>
      </c>
      <c r="AH39" s="11">
        <f>DATOS!$J$12*AG39*$B$16</f>
        <v>199910.14603609068</v>
      </c>
      <c r="AI39" s="11">
        <f t="shared" si="25"/>
        <v>0.88790014838810549</v>
      </c>
      <c r="AK39" s="11">
        <f t="shared" si="26"/>
        <v>0.5104807464020259</v>
      </c>
      <c r="AM39" s="11">
        <f t="shared" si="27"/>
        <v>0.35995354823370773</v>
      </c>
      <c r="AN39" s="128">
        <f>DATOS!$J$12*AM39*$B$16</f>
        <v>163320.37109459948</v>
      </c>
      <c r="AO39" s="11">
        <f t="shared" si="28"/>
        <v>0.85406360492116107</v>
      </c>
      <c r="AQ39" s="11">
        <f t="shared" si="29"/>
        <v>0.41547331118027336</v>
      </c>
      <c r="AS39" s="11">
        <f t="shared" si="30"/>
        <v>0.29173250849087967</v>
      </c>
      <c r="AT39" s="128">
        <f>DATOS!$J$12*AS39*$B$16</f>
        <v>132366.69503853243</v>
      </c>
      <c r="AU39" s="11">
        <f t="shared" si="31"/>
        <v>0.82022706145421698</v>
      </c>
      <c r="AW39" s="11">
        <f t="shared" si="32"/>
        <v>0.33531948613893742</v>
      </c>
      <c r="AY39" s="11">
        <f t="shared" si="33"/>
        <v>0.2344074396429478</v>
      </c>
      <c r="AZ39" s="128">
        <f>DATOS!$J$12*AY39*$B$16</f>
        <v>106356.80692044395</v>
      </c>
      <c r="BA39" s="11">
        <f t="shared" si="34"/>
        <v>0.78639051798727277</v>
      </c>
      <c r="BC39" s="11">
        <f t="shared" si="35"/>
        <v>0.26817357779499323</v>
      </c>
      <c r="BE39" s="11">
        <f t="shared" si="36"/>
        <v>0.18658854113743265</v>
      </c>
      <c r="BF39" s="128">
        <f>DATOS!$J$12*BE39*$B$16</f>
        <v>84660.117757138243</v>
      </c>
      <c r="BG39">
        <f t="shared" si="38"/>
        <v>1169301.5166181226</v>
      </c>
    </row>
    <row r="40" spans="1:59">
      <c r="A40" s="41">
        <f t="shared" si="39"/>
        <v>120</v>
      </c>
      <c r="B40">
        <f t="shared" si="37"/>
        <v>0.3513853105810269</v>
      </c>
      <c r="C40">
        <f t="shared" si="4"/>
        <v>0.3574853910245811</v>
      </c>
      <c r="D40">
        <f t="shared" si="5"/>
        <v>0.36391461017114979</v>
      </c>
      <c r="E40">
        <f t="shared" si="6"/>
        <v>0.3707036728125524</v>
      </c>
      <c r="F40">
        <f t="shared" si="7"/>
        <v>0.37788744959887427</v>
      </c>
      <c r="G40">
        <f t="shared" si="8"/>
        <v>0.38550573308182412</v>
      </c>
      <c r="H40">
        <f t="shared" si="9"/>
        <v>0.39360416852093333</v>
      </c>
      <c r="I40">
        <f t="shared" si="10"/>
        <v>0.40223540929328871</v>
      </c>
      <c r="J40" s="46"/>
      <c r="K40">
        <f t="shared" si="11"/>
        <v>1.0253116854808855</v>
      </c>
      <c r="L40">
        <f t="shared" si="12"/>
        <v>295.44356217131713</v>
      </c>
      <c r="M40">
        <f t="shared" si="13"/>
        <v>1.0897671921087837</v>
      </c>
      <c r="N40">
        <f t="shared" si="14"/>
        <v>110921.54410864176</v>
      </c>
      <c r="O40">
        <f t="shared" si="15"/>
        <v>0.72853519658183852</v>
      </c>
      <c r="P40" s="128">
        <f>DATOS!$J$12*O40*$B$16</f>
        <v>330555.53763834399</v>
      </c>
      <c r="Q40" s="66">
        <f t="shared" si="16"/>
        <v>0.99147514201394116</v>
      </c>
      <c r="S40">
        <f t="shared" si="17"/>
        <v>0.91226360821607577</v>
      </c>
      <c r="U40">
        <f t="shared" si="18"/>
        <v>0.64499645993097454</v>
      </c>
      <c r="V40" s="128">
        <f>DATOS!$J$12*U40*$B$16</f>
        <v>292651.82051278109</v>
      </c>
      <c r="W40" s="49">
        <f t="shared" si="19"/>
        <v>0.95763859854699696</v>
      </c>
      <c r="Y40" s="52">
        <f t="shared" si="20"/>
        <v>0.75893237600165031</v>
      </c>
      <c r="AA40">
        <f t="shared" si="21"/>
        <v>0.53459641004699909</v>
      </c>
      <c r="AB40" s="128">
        <f>DATOS!$J$12*AA40*$B$16</f>
        <v>242560.42065191231</v>
      </c>
      <c r="AC40" s="11">
        <f t="shared" si="22"/>
        <v>0.92380205508005264</v>
      </c>
      <c r="AE40" s="11">
        <f t="shared" si="23"/>
        <v>0.62717050498419147</v>
      </c>
      <c r="AG40" s="11">
        <f t="shared" si="24"/>
        <v>0.44006130135905147</v>
      </c>
      <c r="AH40" s="11">
        <f>DATOS!$J$12*AG40*$B$16</f>
        <v>199667.36095533319</v>
      </c>
      <c r="AI40" s="11">
        <f t="shared" si="25"/>
        <v>0.88996551161310833</v>
      </c>
      <c r="AK40" s="11">
        <f t="shared" si="26"/>
        <v>0.51457597866812443</v>
      </c>
      <c r="AM40" s="11">
        <f t="shared" si="27"/>
        <v>0.35957771864173976</v>
      </c>
      <c r="AN40" s="128">
        <f>DATOS!$J$12*AM40*$B$16</f>
        <v>163149.84734582761</v>
      </c>
      <c r="AO40" s="11">
        <f t="shared" si="28"/>
        <v>0.85612896814616402</v>
      </c>
      <c r="AQ40" s="11">
        <f t="shared" si="29"/>
        <v>0.4189388039327564</v>
      </c>
      <c r="AS40" s="11">
        <f t="shared" si="30"/>
        <v>0.2914822744066064</v>
      </c>
      <c r="AT40" s="128">
        <f>DATOS!$J$12*AS40*$B$16</f>
        <v>132253.15726760455</v>
      </c>
      <c r="AU40" s="11">
        <f t="shared" si="31"/>
        <v>0.82229242467921981</v>
      </c>
      <c r="AW40" s="11">
        <f t="shared" si="32"/>
        <v>0.33823214471363722</v>
      </c>
      <c r="AY40" s="11">
        <f t="shared" si="33"/>
        <v>0.23425430164983616</v>
      </c>
      <c r="AZ40" s="128">
        <f>DATOS!$J$12*AY40*$B$16</f>
        <v>106287.32419416885</v>
      </c>
      <c r="BA40" s="11">
        <f t="shared" si="34"/>
        <v>0.7884558812122755</v>
      </c>
      <c r="BC40" s="11">
        <f t="shared" si="35"/>
        <v>0.27060354237303247</v>
      </c>
      <c r="BE40" s="11">
        <f t="shared" si="36"/>
        <v>0.18650863293039108</v>
      </c>
      <c r="BF40" s="128">
        <f>DATOS!$J$12*BE40*$B$16</f>
        <v>84623.861306572406</v>
      </c>
      <c r="BG40">
        <f t="shared" si="38"/>
        <v>1169333.5069099132</v>
      </c>
    </row>
    <row r="41" spans="1:59">
      <c r="A41" s="41">
        <f t="shared" si="39"/>
        <v>125</v>
      </c>
      <c r="B41">
        <f t="shared" si="37"/>
        <v>0.36602636518856974</v>
      </c>
      <c r="C41">
        <f t="shared" si="4"/>
        <v>0.37238061565060532</v>
      </c>
      <c r="D41">
        <f t="shared" si="5"/>
        <v>0.37907771892828102</v>
      </c>
      <c r="E41">
        <f t="shared" si="6"/>
        <v>0.38614965917974209</v>
      </c>
      <c r="F41">
        <f t="shared" si="7"/>
        <v>0.39363275999882735</v>
      </c>
      <c r="G41">
        <f t="shared" si="8"/>
        <v>0.40156847196023349</v>
      </c>
      <c r="H41">
        <f t="shared" si="9"/>
        <v>0.41000434220930554</v>
      </c>
      <c r="I41">
        <f t="shared" si="10"/>
        <v>0.41899521801384243</v>
      </c>
      <c r="J41" s="46"/>
      <c r="K41">
        <f t="shared" si="11"/>
        <v>1.0274649365026971</v>
      </c>
      <c r="L41">
        <f t="shared" si="12"/>
        <v>296.06402145325217</v>
      </c>
      <c r="M41">
        <f t="shared" si="13"/>
        <v>1.0976579678980323</v>
      </c>
      <c r="N41">
        <f t="shared" si="14"/>
        <v>111724.70375695605</v>
      </c>
      <c r="O41">
        <f t="shared" si="15"/>
        <v>0.72378932458363354</v>
      </c>
      <c r="P41" s="128">
        <f>DATOS!$J$12*O41*$B$16</f>
        <v>328402.21096683957</v>
      </c>
      <c r="Q41" s="66">
        <f t="shared" si="16"/>
        <v>0.99362839303575268</v>
      </c>
      <c r="S41">
        <f t="shared" si="17"/>
        <v>0.91909514387114988</v>
      </c>
      <c r="U41">
        <f t="shared" si="18"/>
        <v>0.64427403709058584</v>
      </c>
      <c r="V41" s="128">
        <f>DATOS!$J$12*U41*$B$16</f>
        <v>292324.03831155412</v>
      </c>
      <c r="W41" s="49">
        <f t="shared" si="19"/>
        <v>0.95979184956880836</v>
      </c>
      <c r="Y41" s="52">
        <f t="shared" si="20"/>
        <v>0.76481704276630624</v>
      </c>
      <c r="AA41">
        <f t="shared" si="21"/>
        <v>0.53407976405846114</v>
      </c>
      <c r="AB41" s="128">
        <f>DATOS!$J$12*AA41*$B$16</f>
        <v>242326.00480857198</v>
      </c>
      <c r="AC41" s="11">
        <f t="shared" si="22"/>
        <v>0.92595530610186405</v>
      </c>
      <c r="AE41" s="11">
        <f t="shared" si="23"/>
        <v>0.63221213221173944</v>
      </c>
      <c r="AG41" s="11">
        <f t="shared" si="24"/>
        <v>0.43970947277361461</v>
      </c>
      <c r="AH41" s="11">
        <f>DATOS!$J$12*AG41*$B$16</f>
        <v>199507.72709308294</v>
      </c>
      <c r="AI41" s="11">
        <f t="shared" si="25"/>
        <v>0.89211876263491974</v>
      </c>
      <c r="AK41" s="11">
        <f t="shared" si="26"/>
        <v>0.51887022810509098</v>
      </c>
      <c r="AM41" s="11">
        <f t="shared" si="27"/>
        <v>0.35935562412226324</v>
      </c>
      <c r="AN41" s="128">
        <f>DATOS!$J$12*AM41*$B$16</f>
        <v>163049.07723391466</v>
      </c>
      <c r="AO41" s="11">
        <f t="shared" si="28"/>
        <v>0.85828221916797542</v>
      </c>
      <c r="AQ41" s="11">
        <f t="shared" si="29"/>
        <v>0.42257354053719126</v>
      </c>
      <c r="AS41" s="11">
        <f t="shared" si="30"/>
        <v>0.29136014199440563</v>
      </c>
      <c r="AT41" s="128">
        <f>DATOS!$J$12*AS41*$B$16</f>
        <v>132197.74258706821</v>
      </c>
      <c r="AU41" s="11">
        <f t="shared" si="31"/>
        <v>0.82444567570103122</v>
      </c>
      <c r="AW41" s="11">
        <f t="shared" si="32"/>
        <v>0.34128780391126778</v>
      </c>
      <c r="AY41" s="11">
        <f t="shared" si="33"/>
        <v>0.23420713463417792</v>
      </c>
      <c r="AZ41" s="128">
        <f>DATOS!$J$12*AY41*$B$16</f>
        <v>106265.92328136072</v>
      </c>
      <c r="BA41" s="11">
        <f t="shared" si="34"/>
        <v>0.79060913223408702</v>
      </c>
      <c r="BC41" s="11">
        <f t="shared" si="35"/>
        <v>0.27315349364787522</v>
      </c>
      <c r="BE41" s="11">
        <f t="shared" si="36"/>
        <v>0.18651570221046368</v>
      </c>
      <c r="BF41" s="128">
        <f>DATOS!$J$12*BE41*$B$16</f>
        <v>84627.068824460483</v>
      </c>
      <c r="BG41">
        <f t="shared" si="38"/>
        <v>1169330.6768084674</v>
      </c>
    </row>
    <row r="42" spans="1:59">
      <c r="A42" s="41">
        <f t="shared" si="39"/>
        <v>130</v>
      </c>
      <c r="B42" s="67">
        <f t="shared" si="37"/>
        <v>0.38066741979611252</v>
      </c>
      <c r="C42" s="67">
        <f t="shared" si="4"/>
        <v>0.38727584027662953</v>
      </c>
      <c r="D42" s="67">
        <f t="shared" si="5"/>
        <v>0.3942408276854123</v>
      </c>
      <c r="E42" s="67">
        <f t="shared" si="6"/>
        <v>0.40159564554693178</v>
      </c>
      <c r="F42" s="67">
        <f t="shared" si="7"/>
        <v>0.40937807039878049</v>
      </c>
      <c r="G42" s="67">
        <f t="shared" si="8"/>
        <v>0.4176312108386428</v>
      </c>
      <c r="H42" s="67">
        <f t="shared" si="9"/>
        <v>0.42640451589767775</v>
      </c>
      <c r="I42" s="67">
        <f t="shared" si="10"/>
        <v>0.43575502673439609</v>
      </c>
      <c r="J42" s="46"/>
      <c r="K42" s="67">
        <f t="shared" ref="K42:K84" si="40">E$7*(1+(1.41-1)*0.5*B42^2)</f>
        <v>1.0297060753213172</v>
      </c>
      <c r="L42" s="67">
        <f t="shared" ref="L42:L84" si="41">288.15*K42</f>
        <v>296.70980560383754</v>
      </c>
      <c r="M42" s="67">
        <f t="shared" ref="M42:M84" si="42">G$7*(1+(1.41-1)*0.5*B42^2)^(1.41/0.41)</f>
        <v>1.1059137638458085</v>
      </c>
      <c r="N42" s="67">
        <f t="shared" ref="N42:N84" si="43">F$7*M42</f>
        <v>112565.0168449296</v>
      </c>
      <c r="O42" s="67">
        <f t="shared" ref="O42:O84" si="44">IF(K42&gt;1,M42*(1-0.49*(SQRT(B42))-3*(K42-1)/(1.5+B42)), M42*(1-0.49*(SQRT(B42))))</f>
        <v>0.71916696208583986</v>
      </c>
      <c r="P42" s="128">
        <f>DATOS!$J$12*O42*$B$16</f>
        <v>326304.92379693151</v>
      </c>
      <c r="Q42" s="67">
        <f t="shared" ref="Q42:Q84" si="45">E$8*(1+(1.41-1)*0.5*C42^2)</f>
        <v>0.99586953185437266</v>
      </c>
      <c r="R42" s="67"/>
      <c r="S42" s="67">
        <f t="shared" ref="S42:S84" si="46">G$8*(1+(1.41-1)*0.5*C42^2)^(1.41/0.41)</f>
        <v>0.92624396978998724</v>
      </c>
      <c r="T42" s="67"/>
      <c r="U42" s="67">
        <f t="shared" ref="U42:U84" si="47">IF(Q42&gt;1,S42*(1-0.49*(SQRT(C42))-3*(Q42-1)/(1.5+C42)), S42*(1-0.49*(SQRT(C42))))</f>
        <v>0.64380041029568291</v>
      </c>
      <c r="V42" s="128">
        <f>DATOS!$J$12*U42*$B$16</f>
        <v>292109.14140531869</v>
      </c>
      <c r="W42" s="49">
        <f t="shared" ref="W42:W84" si="48">E$9*(1+(1.41-1)*0.5*D42^2)</f>
        <v>0.96203298838742857</v>
      </c>
      <c r="X42" s="67"/>
      <c r="Y42" s="52">
        <f t="shared" ref="Y42:Y84" si="49">G$9*(1+(1.41-1)*0.5*D42^2)^(1.41/0.41)</f>
        <v>0.77097619347712165</v>
      </c>
      <c r="Z42" s="67"/>
      <c r="AA42" s="67">
        <f t="shared" ref="AA42:AA84" si="50">IF(W42&gt;1,Y42*(1-0.49*(SQRT(D42))-3*(W42-1)/(1.5+D42)), Y42*(1-0.49*(SQRT(D42))))</f>
        <v>0.5337744663447781</v>
      </c>
      <c r="AB42" s="128">
        <f>DATOS!$J$12*AA42*$B$16</f>
        <v>242187.48322394607</v>
      </c>
      <c r="AC42" s="67">
        <f t="shared" ref="AC42:AC84" si="51">E$10*(1+0.205*(E42)^2)</f>
        <v>0.92819644492048414</v>
      </c>
      <c r="AD42" s="67"/>
      <c r="AE42" s="67">
        <f t="shared" ref="AE42:AE84" si="52">G$10*(1+(0.205)*(E42)^2)^(1.41/0.41)</f>
        <v>0.63748999744386237</v>
      </c>
      <c r="AF42" s="67"/>
      <c r="AG42" s="67">
        <f t="shared" ref="AG42:AG84" si="53">IF(AC42&gt;1,AE42*(1-0.49*(SQRT(E42))-3*(AC42-1)/(1.5+E42)), AE42*(1-0.49*(SQRT(E42))))</f>
        <v>0.43953614757916942</v>
      </c>
      <c r="AH42" s="11">
        <f>DATOS!$J$12*AG42*$B$16</f>
        <v>199429.08490379006</v>
      </c>
      <c r="AI42" s="67">
        <f t="shared" ref="AI42:AI84" si="54">E$11*(1+0.205*(F42)^2)</f>
        <v>0.89435990145353983</v>
      </c>
      <c r="AJ42" s="67"/>
      <c r="AK42" s="67">
        <f t="shared" ref="AK42:AK84" si="55">G$11*(1+(0.205)*(F42)^2)^(1.41/0.41)</f>
        <v>0.52336668218950877</v>
      </c>
      <c r="AL42" s="67"/>
      <c r="AM42" s="67">
        <f t="shared" ref="AM42:AM84" si="56">IF(AI42&gt;1,AK42*(1-0.49*(SQRT(F42))-3*(AI42-1)/(1.5+F42)), AK42*(1-0.49*(SQRT(F42))))</f>
        <v>0.35928336056526411</v>
      </c>
      <c r="AN42" s="128">
        <f>DATOS!$J$12*AM42*$B$16</f>
        <v>163016.28936169163</v>
      </c>
      <c r="AO42" s="67">
        <f t="shared" ref="AO42:AO84" si="57">E$12*(1+0.205*(G42)^2)</f>
        <v>0.86052335798659552</v>
      </c>
      <c r="AP42" s="67"/>
      <c r="AQ42" s="67">
        <f t="shared" ref="AQ42:AQ84" si="58">G$12*(1+(0.205)*(G42)^2)^(1.41/0.41)</f>
        <v>0.42638032849663998</v>
      </c>
      <c r="AR42" s="67"/>
      <c r="AS42" s="67">
        <f t="shared" ref="AS42:AS84" si="59">IF(AO42&gt;1,AQ42*(1-0.49*(SQRT(G42))-3*(AO42-1)/(1.5+G42)), AQ42*(1-0.49*(SQRT(G42))))</f>
        <v>0.29136293691304366</v>
      </c>
      <c r="AT42" s="128">
        <f>DATOS!$J$12*AS42*$B$16</f>
        <v>132199.01071500129</v>
      </c>
      <c r="AU42" s="67">
        <f t="shared" ref="AU42:AU84" si="60">E$13*(1+0.205*(H42)^2)</f>
        <v>0.82668681451965143</v>
      </c>
      <c r="AV42" s="67"/>
      <c r="AW42" s="67">
        <f t="shared" ref="AW42:AW84" si="61">G$13*(1+(0.205)*(H42)^2)^(1.41/0.41)</f>
        <v>0.34448892384667168</v>
      </c>
      <c r="AX42" s="67"/>
      <c r="AY42" s="67">
        <f t="shared" ref="AY42:AY84" si="62">IF(AU42&gt;1,AW42*(1-0.49*(SQRT(H42))-3*(AU42-1)/(1.5+H42)), AW42*(1-0.49*(SQRT(H42))))</f>
        <v>0.23426338245201711</v>
      </c>
      <c r="AZ42" s="128">
        <f>DATOS!$J$12*AY42*$B$16</f>
        <v>106291.44439242585</v>
      </c>
      <c r="BA42" s="11">
        <f t="shared" si="34"/>
        <v>0.79285027105270711</v>
      </c>
      <c r="BB42" s="67"/>
      <c r="BC42" s="67">
        <f t="shared" si="35"/>
        <v>0.27582557531379248</v>
      </c>
      <c r="BD42" s="67"/>
      <c r="BE42" s="67">
        <f t="shared" si="36"/>
        <v>0.18660771251349625</v>
      </c>
      <c r="BF42" s="128">
        <f>DATOS!$J$12*BE42*$B$16</f>
        <v>84668.816313572737</v>
      </c>
      <c r="BG42" s="67">
        <f t="shared" si="38"/>
        <v>1169293.8415877719</v>
      </c>
    </row>
    <row r="43" spans="1:59">
      <c r="A43" s="41">
        <f t="shared" si="39"/>
        <v>135</v>
      </c>
      <c r="B43" s="67">
        <f t="shared" si="37"/>
        <v>0.3953084744036553</v>
      </c>
      <c r="C43" s="67">
        <f t="shared" si="4"/>
        <v>0.40217106490265375</v>
      </c>
      <c r="D43" s="67">
        <f t="shared" si="5"/>
        <v>0.40940393644254353</v>
      </c>
      <c r="E43" s="67">
        <f t="shared" si="6"/>
        <v>0.41704163191412141</v>
      </c>
      <c r="F43" s="67">
        <f t="shared" si="7"/>
        <v>0.42512338079873357</v>
      </c>
      <c r="G43" s="67">
        <f t="shared" si="8"/>
        <v>0.43369394971705216</v>
      </c>
      <c r="H43" s="67">
        <f t="shared" si="9"/>
        <v>0.44280468958605002</v>
      </c>
      <c r="I43" s="67">
        <f t="shared" si="10"/>
        <v>0.4525148354549498</v>
      </c>
      <c r="J43" s="46"/>
      <c r="K43" s="67">
        <f t="shared" si="40"/>
        <v>1.0320351019367457</v>
      </c>
      <c r="L43" s="67">
        <f t="shared" si="41"/>
        <v>297.38091462307324</v>
      </c>
      <c r="M43" s="67">
        <f t="shared" si="42"/>
        <v>1.1145398794361605</v>
      </c>
      <c r="N43" s="67">
        <f t="shared" si="43"/>
        <v>113443.0227785547</v>
      </c>
      <c r="O43" s="67">
        <f t="shared" si="44"/>
        <v>0.71465701569705831</v>
      </c>
      <c r="P43" s="128">
        <f>DATOS!$J$12*O43*$B$16</f>
        <v>324258.64276581822</v>
      </c>
      <c r="Q43" s="67">
        <f t="shared" si="45"/>
        <v>0.99819855846980143</v>
      </c>
      <c r="R43" s="67"/>
      <c r="S43" s="67">
        <f t="shared" si="46"/>
        <v>0.93371483517254328</v>
      </c>
      <c r="T43" s="67"/>
      <c r="U43" s="67">
        <f t="shared" si="47"/>
        <v>0.64356939505038246</v>
      </c>
      <c r="V43" s="128">
        <f>DATOS!$J$12*U43*$B$16</f>
        <v>292004.32372599276</v>
      </c>
      <c r="W43" s="49">
        <f t="shared" si="48"/>
        <v>0.96436201500285712</v>
      </c>
      <c r="X43" s="67"/>
      <c r="Y43" s="52">
        <f t="shared" si="49"/>
        <v>0.77741406795120338</v>
      </c>
      <c r="Z43" s="67"/>
      <c r="AA43" s="67">
        <f t="shared" si="50"/>
        <v>0.53367537249012786</v>
      </c>
      <c r="AB43" s="128">
        <f>DATOS!$J$12*AA43*$B$16</f>
        <v>242142.52174157125</v>
      </c>
      <c r="AC43" s="11">
        <f t="shared" si="51"/>
        <v>0.93052547153591292</v>
      </c>
      <c r="AD43" s="67"/>
      <c r="AE43" s="11">
        <f t="shared" si="52"/>
        <v>0.64300787026559969</v>
      </c>
      <c r="AF43" s="67"/>
      <c r="AG43" s="11">
        <f t="shared" si="53"/>
        <v>0.43953707884475918</v>
      </c>
      <c r="AH43" s="11">
        <f>DATOS!$J$12*AG43*$B$16</f>
        <v>199429.50744342734</v>
      </c>
      <c r="AI43" s="11">
        <f t="shared" si="54"/>
        <v>0.89668892806896849</v>
      </c>
      <c r="AJ43" s="67"/>
      <c r="AK43" s="11">
        <f t="shared" si="55"/>
        <v>0.52806867769046772</v>
      </c>
      <c r="AL43" s="67"/>
      <c r="AM43" s="11">
        <f t="shared" si="56"/>
        <v>0.35935745084000298</v>
      </c>
      <c r="AN43" s="128">
        <f>DATOS!$J$12*AM43*$B$16</f>
        <v>163049.90606369174</v>
      </c>
      <c r="AO43" s="11">
        <f t="shared" si="57"/>
        <v>0.86285238460202429</v>
      </c>
      <c r="AP43" s="67"/>
      <c r="AQ43" s="11">
        <f t="shared" si="58"/>
        <v>0.43036210746194797</v>
      </c>
      <c r="AR43" s="67"/>
      <c r="AS43" s="11">
        <f t="shared" si="59"/>
        <v>0.29148783800664779</v>
      </c>
      <c r="AT43" s="128">
        <f>DATOS!$J$12*AS43*$B$16</f>
        <v>132255.6816189489</v>
      </c>
      <c r="AU43" s="11">
        <f t="shared" si="60"/>
        <v>0.82901584113507998</v>
      </c>
      <c r="AV43" s="67"/>
      <c r="AW43" s="11">
        <f t="shared" si="61"/>
        <v>0.34783808104843655</v>
      </c>
      <c r="AX43" s="67"/>
      <c r="AY43" s="11">
        <f t="shared" si="62"/>
        <v>0.23442077894191091</v>
      </c>
      <c r="AZ43" s="128">
        <f>DATOS!$J$12*AY43*$B$16</f>
        <v>106362.85931044674</v>
      </c>
      <c r="BA43" s="11">
        <f t="shared" si="34"/>
        <v>0.79517929766813567</v>
      </c>
      <c r="BB43" s="67"/>
      <c r="BC43" s="11">
        <f t="shared" si="35"/>
        <v>0.27862203308857397</v>
      </c>
      <c r="BD43" s="67"/>
      <c r="BE43" s="11">
        <f t="shared" si="36"/>
        <v>0.18678286355947898</v>
      </c>
      <c r="BF43" s="128">
        <f>DATOS!$J$12*BE43*$B$16</f>
        <v>84748.286939623998</v>
      </c>
      <c r="BG43" s="67">
        <f t="shared" ref="BG43:BG84" si="63">1244000-(533784*BE43*0.75)</f>
        <v>1169223.7219683253</v>
      </c>
    </row>
    <row r="44" spans="1:59">
      <c r="A44" s="41">
        <f t="shared" si="39"/>
        <v>140</v>
      </c>
      <c r="B44" s="67">
        <f t="shared" si="37"/>
        <v>0.40994952901119808</v>
      </c>
      <c r="C44" s="67">
        <f t="shared" si="4"/>
        <v>0.41706628952867797</v>
      </c>
      <c r="D44" s="67">
        <f t="shared" si="5"/>
        <v>0.42456704519967475</v>
      </c>
      <c r="E44" s="67">
        <f t="shared" si="6"/>
        <v>0.4324876182813111</v>
      </c>
      <c r="F44" s="67">
        <f t="shared" si="7"/>
        <v>0.44086869119868666</v>
      </c>
      <c r="G44" s="67">
        <f t="shared" si="8"/>
        <v>0.44975668859546147</v>
      </c>
      <c r="H44" s="67">
        <f t="shared" si="9"/>
        <v>0.45920486327442223</v>
      </c>
      <c r="I44" s="67">
        <f t="shared" si="10"/>
        <v>0.46927464417550352</v>
      </c>
      <c r="J44" s="46"/>
      <c r="K44" s="67">
        <f t="shared" si="40"/>
        <v>1.0344520163489832</v>
      </c>
      <c r="L44" s="67">
        <f t="shared" si="41"/>
        <v>298.0773485109595</v>
      </c>
      <c r="M44" s="67">
        <f t="shared" si="42"/>
        <v>1.1235418507160821</v>
      </c>
      <c r="N44" s="67">
        <f t="shared" si="43"/>
        <v>114359.28504229413</v>
      </c>
      <c r="O44" s="67">
        <f t="shared" si="44"/>
        <v>0.71024886827695655</v>
      </c>
      <c r="P44" s="128">
        <f>DATOS!$J$12*O44*$B$16</f>
        <v>322258.55059830536</v>
      </c>
      <c r="Q44" s="67">
        <f t="shared" si="45"/>
        <v>1.0006154728820387</v>
      </c>
      <c r="R44" s="67"/>
      <c r="S44" s="67">
        <f t="shared" si="46"/>
        <v>0.94151270207521909</v>
      </c>
      <c r="T44" s="67"/>
      <c r="U44" s="67">
        <f t="shared" si="47"/>
        <v>0.64266863401504926</v>
      </c>
      <c r="V44" s="128">
        <f>DATOS!$J$12*U44*$B$16</f>
        <v>291595.62480559025</v>
      </c>
      <c r="W44" s="49">
        <f t="shared" si="48"/>
        <v>0.96677892941509458</v>
      </c>
      <c r="X44" s="67"/>
      <c r="Y44" s="52">
        <f t="shared" si="49"/>
        <v>0.78413509685018323</v>
      </c>
      <c r="Z44" s="67"/>
      <c r="AA44" s="67">
        <f t="shared" si="50"/>
        <v>0.5337778809023801</v>
      </c>
      <c r="AB44" s="128">
        <f>DATOS!$J$12*AA44*$B$16</f>
        <v>242189.03249833838</v>
      </c>
      <c r="AC44" s="11">
        <f t="shared" si="51"/>
        <v>0.93294238594815015</v>
      </c>
      <c r="AD44" s="67"/>
      <c r="AE44" s="11">
        <f t="shared" si="52"/>
        <v>0.64876969071969737</v>
      </c>
      <c r="AF44" s="67"/>
      <c r="AG44" s="11">
        <f t="shared" si="53"/>
        <v>0.43970847499347171</v>
      </c>
      <c r="AH44" s="11">
        <f>DATOS!$J$12*AG44*$B$16</f>
        <v>199507.27437404735</v>
      </c>
      <c r="AI44" s="11">
        <f t="shared" si="54"/>
        <v>0.89910584248120595</v>
      </c>
      <c r="AJ44" s="67"/>
      <c r="AK44" s="11">
        <f t="shared" si="55"/>
        <v>0.53297970300420172</v>
      </c>
      <c r="AL44" s="67"/>
      <c r="AM44" s="11">
        <f t="shared" si="56"/>
        <v>0.35957479737577824</v>
      </c>
      <c r="AN44" s="128">
        <f>DATOS!$J$12*AM44*$B$16</f>
        <v>163148.52189079809</v>
      </c>
      <c r="AO44" s="11">
        <f t="shared" si="57"/>
        <v>0.86526929901426153</v>
      </c>
      <c r="AP44" s="67"/>
      <c r="AQ44" s="11">
        <f t="shared" si="58"/>
        <v>0.43452195136853838</v>
      </c>
      <c r="AR44" s="67"/>
      <c r="AS44" s="11">
        <f t="shared" si="59"/>
        <v>0.29173233834766682</v>
      </c>
      <c r="AT44" s="128">
        <f>DATOS!$J$12*AS44*$B$16</f>
        <v>132366.61784009167</v>
      </c>
      <c r="AU44" s="11">
        <f t="shared" si="60"/>
        <v>0.83143275554731744</v>
      </c>
      <c r="AV44" s="67"/>
      <c r="AW44" s="11">
        <f t="shared" si="61"/>
        <v>0.35133797040754494</v>
      </c>
      <c r="AX44" s="67"/>
      <c r="AY44" s="11">
        <f t="shared" si="62"/>
        <v>0.23467731617557167</v>
      </c>
      <c r="AZ44" s="128">
        <f>DATOS!$J$12*AY44*$B$16</f>
        <v>106479.25698566524</v>
      </c>
      <c r="BA44" s="11">
        <f t="shared" si="34"/>
        <v>0.79759621208037301</v>
      </c>
      <c r="BB44" s="67"/>
      <c r="BC44" s="11">
        <f t="shared" si="35"/>
        <v>0.2815452164836294</v>
      </c>
      <c r="BD44" s="67"/>
      <c r="BE44" s="11">
        <f t="shared" si="36"/>
        <v>0.18703956560146326</v>
      </c>
      <c r="BF44" s="128">
        <f>DATOS!$J$12*BE44*$B$16</f>
        <v>84864.759392703956</v>
      </c>
      <c r="BG44" s="67">
        <f t="shared" si="63"/>
        <v>1169120.9543862415</v>
      </c>
    </row>
    <row r="45" spans="1:59">
      <c r="A45" s="41">
        <f t="shared" si="39"/>
        <v>145</v>
      </c>
      <c r="B45" s="67">
        <f t="shared" si="37"/>
        <v>0.42459058361874086</v>
      </c>
      <c r="C45" s="67">
        <f t="shared" si="4"/>
        <v>0.43196151415470219</v>
      </c>
      <c r="D45" s="67">
        <f t="shared" si="5"/>
        <v>0.43973015395680598</v>
      </c>
      <c r="E45" s="67">
        <f t="shared" si="6"/>
        <v>0.44793360464850079</v>
      </c>
      <c r="F45" s="67">
        <f t="shared" si="7"/>
        <v>0.45661400159863974</v>
      </c>
      <c r="G45" s="67">
        <f t="shared" si="8"/>
        <v>0.46581942747387084</v>
      </c>
      <c r="H45" s="67">
        <f t="shared" si="9"/>
        <v>0.47560503696279444</v>
      </c>
      <c r="I45" s="67">
        <f t="shared" si="10"/>
        <v>0.48603445289605718</v>
      </c>
      <c r="J45" s="46"/>
      <c r="K45" s="67">
        <f t="shared" si="40"/>
        <v>1.0369568185580291</v>
      </c>
      <c r="L45" s="67">
        <f t="shared" si="41"/>
        <v>298.79910726749608</v>
      </c>
      <c r="M45" s="67">
        <f t="shared" si="42"/>
        <v>1.1329254536542692</v>
      </c>
      <c r="N45" s="67">
        <f t="shared" si="43"/>
        <v>115314.39154095095</v>
      </c>
      <c r="O45" s="67">
        <f t="shared" si="44"/>
        <v>0.70593229550327441</v>
      </c>
      <c r="P45" s="128">
        <f>DATOS!$J$12*O45*$B$16</f>
        <v>320300.00825106644</v>
      </c>
      <c r="Q45" s="67">
        <f t="shared" si="45"/>
        <v>1.0031202750910848</v>
      </c>
      <c r="R45" s="67"/>
      <c r="S45" s="67">
        <f t="shared" si="46"/>
        <v>0.94964274852240826</v>
      </c>
      <c r="T45" s="67"/>
      <c r="U45" s="67">
        <f t="shared" si="47"/>
        <v>0.63921235732673465</v>
      </c>
      <c r="V45" s="128">
        <f>DATOS!$J$12*U45*$B$16</f>
        <v>290027.42136903282</v>
      </c>
      <c r="W45" s="49">
        <f t="shared" si="48"/>
        <v>0.96928373162414039</v>
      </c>
      <c r="X45" s="67"/>
      <c r="Y45" s="52">
        <f t="shared" si="49"/>
        <v>0.79114390455500583</v>
      </c>
      <c r="Z45" s="67"/>
      <c r="AA45" s="67">
        <f t="shared" si="50"/>
        <v>0.53407787470400203</v>
      </c>
      <c r="AB45" s="128">
        <f>DATOS!$J$12*AA45*$B$16</f>
        <v>242325.14755887157</v>
      </c>
      <c r="AC45" s="11">
        <f t="shared" si="51"/>
        <v>0.93544718815719607</v>
      </c>
      <c r="AD45" s="67"/>
      <c r="AE45" s="11">
        <f t="shared" si="52"/>
        <v>0.65477957195503456</v>
      </c>
      <c r="AF45" s="67"/>
      <c r="AG45" s="11">
        <f t="shared" si="53"/>
        <v>0.44004695136489402</v>
      </c>
      <c r="AH45" s="11">
        <f>DATOS!$J$12*AG45*$B$16</f>
        <v>199660.84998639708</v>
      </c>
      <c r="AI45" s="11">
        <f t="shared" si="54"/>
        <v>0.90161064469025198</v>
      </c>
      <c r="AJ45" s="67"/>
      <c r="AK45" s="11">
        <f t="shared" si="55"/>
        <v>0.53810340058642014</v>
      </c>
      <c r="AL45" s="67"/>
      <c r="AM45" s="11">
        <f t="shared" si="56"/>
        <v>0.35993264206210679</v>
      </c>
      <c r="AN45" s="128">
        <f>DATOS!$J$12*AM45*$B$16</f>
        <v>163310.88541590347</v>
      </c>
      <c r="AO45" s="11">
        <f t="shared" si="57"/>
        <v>0.86777410122330745</v>
      </c>
      <c r="AP45" s="67"/>
      <c r="AQ45" s="11">
        <f t="shared" si="58"/>
        <v>0.43886307066283975</v>
      </c>
      <c r="AR45" s="67"/>
      <c r="AS45" s="11">
        <f t="shared" si="59"/>
        <v>0.29209421228410026</v>
      </c>
      <c r="AT45" s="128">
        <f>DATOS!$J$12*AS45*$B$16</f>
        <v>132530.80954170923</v>
      </c>
      <c r="AU45" s="11">
        <f t="shared" si="60"/>
        <v>0.83393755775636325</v>
      </c>
      <c r="AV45" s="67"/>
      <c r="AW45" s="11">
        <f t="shared" si="61"/>
        <v>0.35499140720797101</v>
      </c>
      <c r="AX45" s="67"/>
      <c r="AY45" s="11">
        <f t="shared" si="62"/>
        <v>0.23503121759393092</v>
      </c>
      <c r="AZ45" s="128">
        <f>DATOS!$J$12*AY45*$B$16</f>
        <v>106639.83134660976</v>
      </c>
      <c r="BA45" s="11">
        <f t="shared" si="34"/>
        <v>0.80010101428941904</v>
      </c>
      <c r="BB45" s="67"/>
      <c r="BC45" s="11">
        <f t="shared" si="35"/>
        <v>0.28459758064873497</v>
      </c>
      <c r="BD45" s="67"/>
      <c r="BE45" s="11">
        <f t="shared" si="36"/>
        <v>0.18737641771449937</v>
      </c>
      <c r="BF45" s="128">
        <f>DATOS!$J$12*BE45*$B$16</f>
        <v>85017.598036398427</v>
      </c>
      <c r="BG45" s="67">
        <f t="shared" si="63"/>
        <v>1168986.0996850128</v>
      </c>
    </row>
    <row r="46" spans="1:59" ht="15" customHeight="1">
      <c r="A46" s="41">
        <f t="shared" si="39"/>
        <v>150</v>
      </c>
      <c r="B46" s="67">
        <f t="shared" si="37"/>
        <v>0.43923163822628364</v>
      </c>
      <c r="C46" s="67">
        <f t="shared" si="4"/>
        <v>0.4468567387807264</v>
      </c>
      <c r="D46" s="67">
        <f t="shared" si="5"/>
        <v>0.45489326271393726</v>
      </c>
      <c r="E46" s="67">
        <f t="shared" si="6"/>
        <v>0.46337959101569048</v>
      </c>
      <c r="F46" s="67">
        <f t="shared" si="7"/>
        <v>0.47235931199859288</v>
      </c>
      <c r="G46" s="67">
        <f t="shared" si="8"/>
        <v>0.48188216635228015</v>
      </c>
      <c r="H46" s="67">
        <f t="shared" si="9"/>
        <v>0.49200521065116665</v>
      </c>
      <c r="I46" s="67">
        <f t="shared" si="10"/>
        <v>0.50279426161661089</v>
      </c>
      <c r="J46" s="46"/>
      <c r="K46" s="67">
        <f t="shared" si="40"/>
        <v>1.0395495085638837</v>
      </c>
      <c r="L46" s="67">
        <f t="shared" si="41"/>
        <v>299.54619089268306</v>
      </c>
      <c r="M46" s="67">
        <f t="shared" si="42"/>
        <v>1.1426967076345937</v>
      </c>
      <c r="N46" s="67">
        <f t="shared" si="43"/>
        <v>116308.95495525048</v>
      </c>
      <c r="O46" s="67">
        <f t="shared" si="44"/>
        <v>0.70169739419315358</v>
      </c>
      <c r="P46" s="128">
        <f>DATOS!$J$12*O46*$B$16</f>
        <v>318378.52239014959</v>
      </c>
      <c r="Q46" s="67">
        <f t="shared" si="45"/>
        <v>1.0057129650969394</v>
      </c>
      <c r="R46" s="67"/>
      <c r="S46" s="67">
        <f t="shared" si="46"/>
        <v>0.95811037174306868</v>
      </c>
      <c r="T46" s="67"/>
      <c r="U46" s="67">
        <f t="shared" si="47"/>
        <v>0.63584481979455665</v>
      </c>
      <c r="V46" s="128">
        <f>DATOS!$J$12*U46*$B$16</f>
        <v>288499.48121639621</v>
      </c>
      <c r="W46" s="49">
        <f t="shared" si="48"/>
        <v>0.97187642162999499</v>
      </c>
      <c r="X46" s="67"/>
      <c r="Y46" s="52">
        <f t="shared" si="49"/>
        <v>0.79844531215648973</v>
      </c>
      <c r="Z46" s="67"/>
      <c r="AA46" s="67">
        <f t="shared" si="50"/>
        <v>0.53457167228416891</v>
      </c>
      <c r="AB46" s="128">
        <f>DATOS!$J$12*AA46*$B$16</f>
        <v>242549.19647972318</v>
      </c>
      <c r="AC46" s="11">
        <f t="shared" si="51"/>
        <v>0.93803987816305079</v>
      </c>
      <c r="AD46" s="67"/>
      <c r="AE46" s="11">
        <f t="shared" si="52"/>
        <v>0.6610418029819245</v>
      </c>
      <c r="AF46" s="67"/>
      <c r="AG46" s="11">
        <f t="shared" si="53"/>
        <v>0.44054948898722146</v>
      </c>
      <c r="AH46" s="11">
        <f>DATOS!$J$12*AG46*$B$16</f>
        <v>199888.86449374186</v>
      </c>
      <c r="AI46" s="11">
        <f t="shared" si="54"/>
        <v>0.90420333469610648</v>
      </c>
      <c r="AJ46" s="67"/>
      <c r="AK46" s="11">
        <f t="shared" si="55"/>
        <v>0.54344356948303374</v>
      </c>
      <c r="AL46" s="67"/>
      <c r="AM46" s="11">
        <f t="shared" si="56"/>
        <v>0.36042853210859638</v>
      </c>
      <c r="AN46" s="128">
        <f>DATOS!$J$12*AM46*$B$16</f>
        <v>163535.88374363829</v>
      </c>
      <c r="AO46" s="11">
        <f t="shared" si="57"/>
        <v>0.87036679122916205</v>
      </c>
      <c r="AP46" s="67"/>
      <c r="AQ46" s="11">
        <f t="shared" si="58"/>
        <v>0.44338881461899848</v>
      </c>
      <c r="AR46" s="67"/>
      <c r="AS46" s="11">
        <f t="shared" si="59"/>
        <v>0.29257148737622529</v>
      </c>
      <c r="AT46" s="128">
        <f>DATOS!$J$12*AS46*$B$16</f>
        <v>132747.36177613662</v>
      </c>
      <c r="AU46" s="11">
        <f t="shared" si="60"/>
        <v>0.83653024776221796</v>
      </c>
      <c r="AV46" s="67"/>
      <c r="AW46" s="11">
        <f t="shared" si="61"/>
        <v>0.35880132923985475</v>
      </c>
      <c r="AX46" s="67"/>
      <c r="AY46" s="11">
        <f t="shared" si="62"/>
        <v>0.23548091512215444</v>
      </c>
      <c r="AZ46" s="128">
        <f>DATOS!$J$12*AY46*$B$16</f>
        <v>106843.87091657701</v>
      </c>
      <c r="BA46" s="11">
        <f t="shared" si="34"/>
        <v>0.80269370429527354</v>
      </c>
      <c r="BB46" s="67"/>
      <c r="BC46" s="11">
        <f t="shared" si="35"/>
        <v>0.28778168829201806</v>
      </c>
      <c r="BD46" s="67"/>
      <c r="BE46" s="11">
        <f t="shared" si="36"/>
        <v>0.18779218929402186</v>
      </c>
      <c r="BF46" s="128">
        <f>DATOS!$J$12*BE46*$B$16</f>
        <v>85206.244513121346</v>
      </c>
      <c r="BG46" s="67">
        <f t="shared" si="63"/>
        <v>1168819.6505224099</v>
      </c>
    </row>
    <row r="47" spans="1:59">
      <c r="A47" s="41">
        <f t="shared" si="39"/>
        <v>155</v>
      </c>
      <c r="B47" s="67">
        <f t="shared" si="37"/>
        <v>0.45387269283382642</v>
      </c>
      <c r="C47" s="67">
        <f t="shared" si="4"/>
        <v>0.46175196340675062</v>
      </c>
      <c r="D47" s="67">
        <f t="shared" si="5"/>
        <v>0.47005637147106849</v>
      </c>
      <c r="E47" s="67">
        <f t="shared" si="6"/>
        <v>0.47882557738288017</v>
      </c>
      <c r="F47" s="67">
        <f t="shared" si="7"/>
        <v>0.48810462239854596</v>
      </c>
      <c r="G47" s="67">
        <f t="shared" si="8"/>
        <v>0.49794490523068952</v>
      </c>
      <c r="H47" s="67">
        <f t="shared" si="9"/>
        <v>0.50840538433953886</v>
      </c>
      <c r="I47" s="67">
        <f t="shared" si="10"/>
        <v>0.51955407033716461</v>
      </c>
      <c r="J47" s="46"/>
      <c r="K47" s="67">
        <f t="shared" si="40"/>
        <v>1.042230086366547</v>
      </c>
      <c r="L47" s="67">
        <f t="shared" si="41"/>
        <v>300.31859938652048</v>
      </c>
      <c r="M47" s="67">
        <f t="shared" si="42"/>
        <v>1.1528618790851359</v>
      </c>
      <c r="N47" s="67">
        <f t="shared" si="43"/>
        <v>117343.61311121986</v>
      </c>
      <c r="O47" s="67">
        <f t="shared" si="44"/>
        <v>0.69753452018707485</v>
      </c>
      <c r="P47" s="128">
        <f>DATOS!$J$12*O47*$B$16</f>
        <v>316489.71720728913</v>
      </c>
      <c r="Q47" s="67">
        <f t="shared" si="45"/>
        <v>1.0083935428996027</v>
      </c>
      <c r="R47" s="67"/>
      <c r="S47" s="67">
        <f t="shared" si="46"/>
        <v>0.96692119153316047</v>
      </c>
      <c r="T47" s="67"/>
      <c r="U47" s="67">
        <f t="shared" si="47"/>
        <v>0.63255769642920001</v>
      </c>
      <c r="V47" s="128">
        <f>DATOS!$J$12*U47*$B$16</f>
        <v>287008.0270815554</v>
      </c>
      <c r="W47" s="49">
        <f t="shared" si="48"/>
        <v>0.97455699943265828</v>
      </c>
      <c r="X47" s="67"/>
      <c r="Y47" s="52">
        <f t="shared" si="49"/>
        <v>0.80604434056242191</v>
      </c>
      <c r="Z47" s="67"/>
      <c r="AA47" s="67">
        <f t="shared" si="50"/>
        <v>0.53525598495642901</v>
      </c>
      <c r="AB47" s="128">
        <f>DATOS!$J$12*AA47*$B$16</f>
        <v>242859.68709754501</v>
      </c>
      <c r="AC47" s="11">
        <f t="shared" si="51"/>
        <v>0.94072045596571408</v>
      </c>
      <c r="AD47" s="67"/>
      <c r="AE47" s="11">
        <f t="shared" si="52"/>
        <v>0.66756085153504641</v>
      </c>
      <c r="AF47" s="67"/>
      <c r="AG47" s="11">
        <f t="shared" si="53"/>
        <v>0.44121339926480202</v>
      </c>
      <c r="AH47" s="11">
        <f>DATOS!$J$12*AG47*$B$16</f>
        <v>200190.09800967755</v>
      </c>
      <c r="AI47" s="11">
        <f t="shared" si="54"/>
        <v>0.90688391249876976</v>
      </c>
      <c r="AJ47" s="67"/>
      <c r="AK47" s="11">
        <f t="shared" si="55"/>
        <v>0.54900416795998241</v>
      </c>
      <c r="AL47" s="67"/>
      <c r="AM47" s="11">
        <f t="shared" si="56"/>
        <v>0.36106029079527729</v>
      </c>
      <c r="AN47" s="128">
        <f>DATOS!$J$12*AM47*$B$16</f>
        <v>163822.52923902863</v>
      </c>
      <c r="AO47" s="11">
        <f t="shared" si="57"/>
        <v>0.87304736903182545</v>
      </c>
      <c r="AP47" s="67"/>
      <c r="AQ47" s="11">
        <f t="shared" si="58"/>
        <v>0.44810267374656404</v>
      </c>
      <c r="AR47" s="67"/>
      <c r="AS47" s="11">
        <f t="shared" si="59"/>
        <v>0.29316242034613815</v>
      </c>
      <c r="AT47" s="128">
        <f>DATOS!$J$12*AS47*$B$16</f>
        <v>133015.48357244002</v>
      </c>
      <c r="AU47" s="11">
        <f t="shared" si="60"/>
        <v>0.83921082556488114</v>
      </c>
      <c r="AV47" s="67"/>
      <c r="AW47" s="11">
        <f t="shared" si="61"/>
        <v>0.36277079899588566</v>
      </c>
      <c r="AX47" s="67"/>
      <c r="AY47" s="11">
        <f t="shared" si="62"/>
        <v>0.23602502955063351</v>
      </c>
      <c r="AZ47" s="128">
        <f>DATOS!$J$12*AY47*$B$16</f>
        <v>107090.7499119729</v>
      </c>
      <c r="BA47" s="11">
        <f t="shared" si="34"/>
        <v>0.80537428209793693</v>
      </c>
      <c r="BB47" s="67"/>
      <c r="BC47" s="11">
        <f t="shared" si="35"/>
        <v>0.2911002116757842</v>
      </c>
      <c r="BD47" s="67"/>
      <c r="BE47" s="11">
        <f t="shared" si="36"/>
        <v>0.18828580418898549</v>
      </c>
      <c r="BF47" s="128">
        <f>DATOS!$J$12*BE47*$B$16</f>
        <v>85430.210544902046</v>
      </c>
      <c r="BG47" s="67">
        <f t="shared" si="63"/>
        <v>1168622.0377225899</v>
      </c>
    </row>
    <row r="48" spans="1:59">
      <c r="A48" s="41">
        <f t="shared" si="39"/>
        <v>160</v>
      </c>
      <c r="B48" s="67">
        <f t="shared" si="37"/>
        <v>0.46851374744136925</v>
      </c>
      <c r="C48" s="67">
        <f t="shared" si="4"/>
        <v>0.47664718803277484</v>
      </c>
      <c r="D48" s="67">
        <f t="shared" si="5"/>
        <v>0.48521948022819972</v>
      </c>
      <c r="E48" s="67">
        <f t="shared" si="6"/>
        <v>0.49427156375006986</v>
      </c>
      <c r="F48" s="67">
        <f t="shared" si="7"/>
        <v>0.50384993279849899</v>
      </c>
      <c r="G48" s="67">
        <f t="shared" si="8"/>
        <v>0.51400764410909883</v>
      </c>
      <c r="H48" s="67">
        <f t="shared" si="9"/>
        <v>0.52480555802791107</v>
      </c>
      <c r="I48" s="67">
        <f t="shared" si="10"/>
        <v>0.53631387905771832</v>
      </c>
      <c r="J48" s="46"/>
      <c r="K48" s="67">
        <f t="shared" si="40"/>
        <v>1.0449985519660188</v>
      </c>
      <c r="L48" s="67">
        <f t="shared" si="41"/>
        <v>301.11633274900828</v>
      </c>
      <c r="M48" s="67">
        <f t="shared" si="42"/>
        <v>1.1634274852436861</v>
      </c>
      <c r="N48" s="67">
        <f t="shared" si="43"/>
        <v>118419.02936345842</v>
      </c>
      <c r="O48" s="67">
        <f t="shared" si="44"/>
        <v>0.69343423405865467</v>
      </c>
      <c r="P48" s="128">
        <f>DATOS!$J$12*O48*$B$16</f>
        <v>314629.30978701601</v>
      </c>
      <c r="Q48" s="67">
        <f t="shared" si="45"/>
        <v>1.0111620084990744</v>
      </c>
      <c r="R48" s="67"/>
      <c r="S48" s="67">
        <f t="shared" si="46"/>
        <v>0.97608105374479037</v>
      </c>
      <c r="T48" s="67"/>
      <c r="U48" s="67">
        <f t="shared" si="47"/>
        <v>0.62934284570561205</v>
      </c>
      <c r="V48" s="128">
        <f>DATOS!$J$12*U48*$B$16</f>
        <v>285549.36494093604</v>
      </c>
      <c r="W48" s="49">
        <f t="shared" si="48"/>
        <v>0.97732546503213014</v>
      </c>
      <c r="X48" s="67"/>
      <c r="Y48" s="52">
        <f t="shared" si="49"/>
        <v>0.81394621372202047</v>
      </c>
      <c r="Z48" s="67"/>
      <c r="AA48" s="67">
        <f t="shared" si="50"/>
        <v>0.53612788048800231</v>
      </c>
      <c r="AB48" s="128">
        <f>DATOS!$J$12*AA48*$B$16</f>
        <v>243255.28898137427</v>
      </c>
      <c r="AC48" s="11">
        <f t="shared" si="51"/>
        <v>0.94348892156518582</v>
      </c>
      <c r="AD48" s="67"/>
      <c r="AE48" s="11">
        <f t="shared" si="52"/>
        <v>0.67434136704478376</v>
      </c>
      <c r="AF48" s="67"/>
      <c r="AG48" s="11">
        <f t="shared" si="53"/>
        <v>0.44203629355443752</v>
      </c>
      <c r="AH48" s="11">
        <f>DATOS!$J$12*AG48*$B$16</f>
        <v>200563.46674410003</v>
      </c>
      <c r="AI48" s="11">
        <f t="shared" si="54"/>
        <v>0.90965237809824162</v>
      </c>
      <c r="AJ48" s="67"/>
      <c r="AK48" s="11">
        <f t="shared" si="55"/>
        <v>0.55478931623290584</v>
      </c>
      <c r="AL48" s="67"/>
      <c r="AM48" s="11">
        <f t="shared" si="56"/>
        <v>0.36182599226511791</v>
      </c>
      <c r="AN48" s="128">
        <f>DATOS!$J$12*AM48*$B$16</f>
        <v>164169.948090199</v>
      </c>
      <c r="AO48" s="11">
        <f t="shared" si="57"/>
        <v>0.87581583463129731</v>
      </c>
      <c r="AP48" s="67"/>
      <c r="AQ48" s="11">
        <f t="shared" si="58"/>
        <v>0.45300828228983731</v>
      </c>
      <c r="AR48" s="67"/>
      <c r="AS48" s="11">
        <f t="shared" si="59"/>
        <v>0.29386547634449328</v>
      </c>
      <c r="AT48" s="128">
        <f>DATOS!$J$12*AS48*$B$16</f>
        <v>133334.4785291923</v>
      </c>
      <c r="AU48" s="11">
        <f t="shared" si="60"/>
        <v>0.84197929116435299</v>
      </c>
      <c r="AV48" s="67"/>
      <c r="AW48" s="11">
        <f t="shared" si="61"/>
        <v>0.36690300595156811</v>
      </c>
      <c r="AX48" s="67"/>
      <c r="AY48" s="11">
        <f t="shared" si="62"/>
        <v>0.23666235361617949</v>
      </c>
      <c r="AZ48" s="128">
        <f>DATOS!$J$12*AY48*$B$16</f>
        <v>107379.92056580658</v>
      </c>
      <c r="BA48" s="11">
        <f t="shared" si="34"/>
        <v>0.80814274769740868</v>
      </c>
      <c r="BB48" s="67"/>
      <c r="BC48" s="11">
        <f t="shared" si="35"/>
        <v>0.29455593468880964</v>
      </c>
      <c r="BD48" s="67"/>
      <c r="BE48" s="11">
        <f t="shared" si="36"/>
        <v>0.18885632701363153</v>
      </c>
      <c r="BF48" s="128">
        <f>DATOS!$J$12*BE48*$B$16</f>
        <v>85689.071722674431</v>
      </c>
      <c r="BG48" s="67">
        <f t="shared" si="63"/>
        <v>1168393.6357560167</v>
      </c>
    </row>
    <row r="49" spans="1:59">
      <c r="A49" s="41">
        <f t="shared" si="39"/>
        <v>165</v>
      </c>
      <c r="B49" s="67">
        <f t="shared" si="37"/>
        <v>0.48315480204891204</v>
      </c>
      <c r="C49" s="67">
        <f t="shared" si="4"/>
        <v>0.49154241265879905</v>
      </c>
      <c r="D49" s="67">
        <f t="shared" si="5"/>
        <v>0.50038258898533094</v>
      </c>
      <c r="E49" s="67">
        <f t="shared" si="6"/>
        <v>0.5097175501172595</v>
      </c>
      <c r="F49" s="67">
        <f t="shared" si="7"/>
        <v>0.51959524319845218</v>
      </c>
      <c r="G49" s="67">
        <f t="shared" si="8"/>
        <v>0.53007038298750819</v>
      </c>
      <c r="H49" s="67">
        <f t="shared" si="9"/>
        <v>0.54120573171628328</v>
      </c>
      <c r="I49" s="67">
        <f t="shared" si="10"/>
        <v>0.55307368777827193</v>
      </c>
      <c r="J49" s="46"/>
      <c r="K49" s="67">
        <f t="shared" si="40"/>
        <v>1.0478549053622992</v>
      </c>
      <c r="L49" s="67">
        <f t="shared" si="41"/>
        <v>301.93939098014647</v>
      </c>
      <c r="M49" s="67">
        <f t="shared" si="42"/>
        <v>1.174400298060629</v>
      </c>
      <c r="N49" s="67">
        <f t="shared" si="43"/>
        <v>119535.89299239111</v>
      </c>
      <c r="O49" s="67">
        <f t="shared" si="44"/>
        <v>0.68938725326267225</v>
      </c>
      <c r="P49" s="128">
        <f>DATOS!$J$12*O49*$B$16</f>
        <v>312793.08839496173</v>
      </c>
      <c r="Q49" s="67">
        <f t="shared" si="45"/>
        <v>1.0140183618953551</v>
      </c>
      <c r="R49" s="67"/>
      <c r="S49" s="67">
        <f t="shared" si="46"/>
        <v>0.98559603390295725</v>
      </c>
      <c r="T49" s="67"/>
      <c r="U49" s="67">
        <f t="shared" si="47"/>
        <v>0.6261922684570671</v>
      </c>
      <c r="V49" s="128">
        <f>DATOS!$J$12*U49*$B$16</f>
        <v>284119.86536267243</v>
      </c>
      <c r="W49" s="49">
        <f t="shared" si="48"/>
        <v>0.98018181842841057</v>
      </c>
      <c r="X49" s="67"/>
      <c r="Y49" s="52">
        <f t="shared" si="49"/>
        <v>0.82215636196859876</v>
      </c>
      <c r="Z49" s="67"/>
      <c r="AA49" s="67">
        <f t="shared" si="50"/>
        <v>0.53718475151383771</v>
      </c>
      <c r="AB49" s="128">
        <f>DATOS!$J$12*AA49*$B$16</f>
        <v>243734.81910126211</v>
      </c>
      <c r="AC49" s="11">
        <f t="shared" si="51"/>
        <v>0.94634527496146637</v>
      </c>
      <c r="AD49" s="67"/>
      <c r="AE49" s="11">
        <f t="shared" si="52"/>
        <v>0.68138818371777043</v>
      </c>
      <c r="AF49" s="67"/>
      <c r="AG49" s="11">
        <f t="shared" si="53"/>
        <v>0.44301605680924205</v>
      </c>
      <c r="AH49" s="11">
        <f>DATOS!$J$12*AG49*$B$16</f>
        <v>201008.01104473195</v>
      </c>
      <c r="AI49" s="11">
        <f t="shared" si="54"/>
        <v>0.91250873149452194</v>
      </c>
      <c r="AJ49" s="67"/>
      <c r="AK49" s="11">
        <f t="shared" si="55"/>
        <v>0.56080329929741701</v>
      </c>
      <c r="AL49" s="67"/>
      <c r="AM49" s="11">
        <f t="shared" si="56"/>
        <v>0.36272393968013861</v>
      </c>
      <c r="AN49" s="128">
        <f>DATOS!$J$12*AM49*$B$16</f>
        <v>164577.3703972279</v>
      </c>
      <c r="AO49" s="11">
        <f t="shared" si="57"/>
        <v>0.87867218802757763</v>
      </c>
      <c r="AP49" s="67"/>
      <c r="AQ49" s="11">
        <f t="shared" si="58"/>
        <v>0.45810942081961109</v>
      </c>
      <c r="AR49" s="67"/>
      <c r="AS49" s="11">
        <f t="shared" si="59"/>
        <v>0.29467931097791783</v>
      </c>
      <c r="AT49" s="128">
        <f>DATOS!$J$12*AS49*$B$16</f>
        <v>133703.73665983928</v>
      </c>
      <c r="AU49" s="11">
        <f t="shared" si="60"/>
        <v>0.84483564456063354</v>
      </c>
      <c r="AV49" s="67"/>
      <c r="AW49" s="11">
        <f t="shared" si="61"/>
        <v>0.37120126893004296</v>
      </c>
      <c r="AX49" s="67"/>
      <c r="AY49" s="11">
        <f t="shared" si="62"/>
        <v>0.23739183733069652</v>
      </c>
      <c r="AZ49" s="128">
        <f>DATOS!$J$12*AY49*$B$16</f>
        <v>107710.90647092408</v>
      </c>
      <c r="BA49" s="11">
        <f t="shared" si="34"/>
        <v>0.81099910109368922</v>
      </c>
      <c r="BB49" s="67"/>
      <c r="BC49" s="11">
        <f t="shared" si="35"/>
        <v>0.29815175499574881</v>
      </c>
      <c r="BD49" s="67"/>
      <c r="BE49" s="11">
        <f t="shared" si="36"/>
        <v>0.18950295127285491</v>
      </c>
      <c r="BF49" s="128">
        <f>DATOS!$J$12*BE49*$B$16</f>
        <v>85982.462118444513</v>
      </c>
      <c r="BG49" s="67">
        <f t="shared" si="63"/>
        <v>1168134.7674933278</v>
      </c>
    </row>
    <row r="50" spans="1:59">
      <c r="A50" s="41">
        <f t="shared" si="39"/>
        <v>170</v>
      </c>
      <c r="B50" s="67">
        <f t="shared" si="37"/>
        <v>0.49779585665645482</v>
      </c>
      <c r="C50" s="67">
        <f t="shared" si="4"/>
        <v>0.50643763728482327</v>
      </c>
      <c r="D50" s="67">
        <f t="shared" si="5"/>
        <v>0.51554569774246217</v>
      </c>
      <c r="E50" s="67">
        <f t="shared" si="6"/>
        <v>0.52516353648444924</v>
      </c>
      <c r="F50" s="67">
        <f t="shared" si="7"/>
        <v>0.53534055359840527</v>
      </c>
      <c r="G50" s="67">
        <f t="shared" si="8"/>
        <v>0.54613312186591756</v>
      </c>
      <c r="H50" s="67">
        <f t="shared" si="9"/>
        <v>0.55760590540465549</v>
      </c>
      <c r="I50" s="67">
        <f t="shared" si="10"/>
        <v>0.56983349649882564</v>
      </c>
      <c r="J50" s="46"/>
      <c r="K50" s="67">
        <f t="shared" si="40"/>
        <v>1.0507991465553883</v>
      </c>
      <c r="L50" s="67">
        <f t="shared" si="41"/>
        <v>302.7877740799351</v>
      </c>
      <c r="M50" s="67">
        <f t="shared" si="42"/>
        <v>1.1857873482401546</v>
      </c>
      <c r="N50" s="67">
        <f t="shared" si="43"/>
        <v>120694.91961560173</v>
      </c>
      <c r="O50" s="67">
        <f t="shared" si="44"/>
        <v>0.68538440960408531</v>
      </c>
      <c r="P50" s="128">
        <f>DATOS!$J$12*O50*$B$16</f>
        <v>310976.89318043471</v>
      </c>
      <c r="Q50" s="67">
        <f t="shared" si="45"/>
        <v>1.0169626030884442</v>
      </c>
      <c r="R50" s="67"/>
      <c r="S50" s="67">
        <f t="shared" si="46"/>
        <v>0.99547244095078136</v>
      </c>
      <c r="T50" s="67"/>
      <c r="U50" s="67">
        <f t="shared" si="47"/>
        <v>0.62309807125910044</v>
      </c>
      <c r="V50" s="128">
        <f>DATOS!$J$12*U50*$B$16</f>
        <v>282715.94689293788</v>
      </c>
      <c r="W50" s="49">
        <f t="shared" si="48"/>
        <v>0.98312605962149979</v>
      </c>
      <c r="X50" s="67"/>
      <c r="Y50" s="52">
        <f t="shared" si="49"/>
        <v>0.83068042548129117</v>
      </c>
      <c r="Z50" s="67"/>
      <c r="AA50" s="67">
        <f t="shared" si="50"/>
        <v>0.53842428804003439</v>
      </c>
      <c r="AB50" s="128">
        <f>DATOS!$J$12*AA50*$B$16</f>
        <v>244297.22935235463</v>
      </c>
      <c r="AC50" s="11">
        <f t="shared" si="51"/>
        <v>0.94928951615455548</v>
      </c>
      <c r="AD50" s="67"/>
      <c r="AE50" s="11">
        <f t="shared" si="52"/>
        <v>0.68870632372745821</v>
      </c>
      <c r="AF50" s="67"/>
      <c r="AG50" s="11">
        <f t="shared" si="53"/>
        <v>0.44415082462811578</v>
      </c>
      <c r="AH50" s="11">
        <f>DATOS!$J$12*AG50*$B$16</f>
        <v>201522.88498386682</v>
      </c>
      <c r="AI50" s="11">
        <f t="shared" si="54"/>
        <v>0.91545297268761106</v>
      </c>
      <c r="AJ50" s="67"/>
      <c r="AK50" s="11">
        <f t="shared" si="55"/>
        <v>0.56705056986076119</v>
      </c>
      <c r="AL50" s="67"/>
      <c r="AM50" s="11">
        <f t="shared" si="56"/>
        <v>0.36375264619407816</v>
      </c>
      <c r="AN50" s="128">
        <f>DATOS!$J$12*AM50*$B$16</f>
        <v>165044.12153894731</v>
      </c>
      <c r="AO50" s="11">
        <f t="shared" si="57"/>
        <v>0.88161642922066685</v>
      </c>
      <c r="AP50" s="67"/>
      <c r="AQ50" s="11">
        <f t="shared" si="58"/>
        <v>0.46341001891803785</v>
      </c>
      <c r="AR50" s="67"/>
      <c r="AS50" s="11">
        <f t="shared" si="59"/>
        <v>0.29560275464838348</v>
      </c>
      <c r="AT50" s="128">
        <f>DATOS!$J$12*AS50*$B$16</f>
        <v>134122.7272870618</v>
      </c>
      <c r="AU50" s="11">
        <f t="shared" si="60"/>
        <v>0.84777988575372265</v>
      </c>
      <c r="AV50" s="67"/>
      <c r="AW50" s="11">
        <f t="shared" si="61"/>
        <v>0.3756690385521716</v>
      </c>
      <c r="AX50" s="67"/>
      <c r="AY50" s="11">
        <f t="shared" si="62"/>
        <v>0.2382125751922603</v>
      </c>
      <c r="AZ50" s="128">
        <f>DATOS!$J$12*AY50*$B$16</f>
        <v>108083.29677733926</v>
      </c>
      <c r="BA50" s="11">
        <f t="shared" si="34"/>
        <v>0.81394334228677834</v>
      </c>
      <c r="BB50" s="67"/>
      <c r="BC50" s="11">
        <f t="shared" si="35"/>
        <v>0.30189068626431398</v>
      </c>
      <c r="BD50" s="67"/>
      <c r="BE50" s="11">
        <f t="shared" si="36"/>
        <v>0.19022498900675183</v>
      </c>
      <c r="BF50" s="128">
        <f>DATOS!$J$12*BE50*$B$16</f>
        <v>86310.0695867498</v>
      </c>
      <c r="BG50" s="67">
        <f t="shared" si="63"/>
        <v>1167845.7083510149</v>
      </c>
    </row>
    <row r="51" spans="1:59">
      <c r="A51" s="41">
        <f t="shared" si="39"/>
        <v>175</v>
      </c>
      <c r="B51" s="67">
        <f t="shared" si="37"/>
        <v>0.5124369112639976</v>
      </c>
      <c r="C51" s="67">
        <f t="shared" si="4"/>
        <v>0.52133286191084749</v>
      </c>
      <c r="D51" s="67">
        <f t="shared" si="5"/>
        <v>0.5307088064995934</v>
      </c>
      <c r="E51" s="67">
        <f t="shared" si="6"/>
        <v>0.54060952285163888</v>
      </c>
      <c r="F51" s="67">
        <f t="shared" si="7"/>
        <v>0.55108586399835835</v>
      </c>
      <c r="G51" s="67">
        <f t="shared" si="8"/>
        <v>0.56219586074432693</v>
      </c>
      <c r="H51" s="67">
        <f t="shared" si="9"/>
        <v>0.57400607909302781</v>
      </c>
      <c r="I51" s="67">
        <f t="shared" si="10"/>
        <v>0.58659330521937936</v>
      </c>
      <c r="J51" s="46"/>
      <c r="K51" s="67">
        <f t="shared" si="40"/>
        <v>1.0538312755452861</v>
      </c>
      <c r="L51" s="67">
        <f t="shared" si="41"/>
        <v>303.66148204837418</v>
      </c>
      <c r="M51" s="67">
        <f t="shared" si="42"/>
        <v>1.1975959294207772</v>
      </c>
      <c r="N51" s="67">
        <f t="shared" si="43"/>
        <v>121896.85161334548</v>
      </c>
      <c r="O51" s="67">
        <f t="shared" si="44"/>
        <v>0.68141661112193364</v>
      </c>
      <c r="P51" s="128">
        <f>DATOS!$J$12*O51*$B$16</f>
        <v>309176.59888214694</v>
      </c>
      <c r="Q51" s="67">
        <f t="shared" si="45"/>
        <v>1.0199947320783418</v>
      </c>
      <c r="R51" s="67"/>
      <c r="S51" s="67">
        <f t="shared" si="46"/>
        <v>1.0057168211241763</v>
      </c>
      <c r="T51" s="67"/>
      <c r="U51" s="67">
        <f t="shared" si="47"/>
        <v>0.62005243353861028</v>
      </c>
      <c r="V51" s="128">
        <f>DATOS!$J$12*U51*$B$16</f>
        <v>281334.0611324808</v>
      </c>
      <c r="W51" s="49">
        <f t="shared" si="48"/>
        <v>0.98615818861139748</v>
      </c>
      <c r="X51" s="67"/>
      <c r="Y51" s="52">
        <f t="shared" si="49"/>
        <v>0.8395242578667319</v>
      </c>
      <c r="Z51" s="67"/>
      <c r="AA51" s="67">
        <f t="shared" si="50"/>
        <v>0.53984445339092235</v>
      </c>
      <c r="AB51" s="128">
        <f>DATOS!$J$12*AA51*$B$16</f>
        <v>244941.59564145177</v>
      </c>
      <c r="AC51" s="11">
        <f t="shared" si="51"/>
        <v>0.95232164514445328</v>
      </c>
      <c r="AD51" s="67"/>
      <c r="AE51" s="11">
        <f t="shared" si="52"/>
        <v>0.69630100051556487</v>
      </c>
      <c r="AF51" s="67"/>
      <c r="AG51" s="11">
        <f t="shared" si="53"/>
        <v>0.44543896317340526</v>
      </c>
      <c r="AH51" s="11">
        <f>DATOS!$J$12*AG51*$B$16</f>
        <v>202107.34724648451</v>
      </c>
      <c r="AI51" s="11">
        <f t="shared" si="54"/>
        <v>0.91848510167750896</v>
      </c>
      <c r="AJ51" s="67"/>
      <c r="AK51" s="11">
        <f t="shared" si="55"/>
        <v>0.57353575137565938</v>
      </c>
      <c r="AL51" s="67"/>
      <c r="AM51" s="11">
        <f t="shared" si="56"/>
        <v>0.36491081829738908</v>
      </c>
      <c r="AN51" s="128">
        <f>DATOS!$J$12*AM51*$B$16</f>
        <v>165569.61461612998</v>
      </c>
      <c r="AO51" s="11">
        <f t="shared" si="57"/>
        <v>0.88464855821056465</v>
      </c>
      <c r="AP51" s="67"/>
      <c r="AQ51" s="11">
        <f t="shared" si="58"/>
        <v>0.46891415795738856</v>
      </c>
      <c r="AR51" s="67"/>
      <c r="AS51" s="11">
        <f t="shared" si="59"/>
        <v>0.29663479884011362</v>
      </c>
      <c r="AT51" s="128">
        <f>DATOS!$J$12*AS51*$B$16</f>
        <v>134590.9928207855</v>
      </c>
      <c r="AU51" s="11">
        <f t="shared" si="60"/>
        <v>0.85081201474362034</v>
      </c>
      <c r="AV51" s="67"/>
      <c r="AW51" s="11">
        <f t="shared" si="61"/>
        <v>0.38030989977260199</v>
      </c>
      <c r="AX51" s="67"/>
      <c r="AY51" s="11">
        <f t="shared" si="62"/>
        <v>0.23912379498205399</v>
      </c>
      <c r="AZ51" s="128">
        <f>DATOS!$J$12*AY51*$B$16</f>
        <v>108496.7411091096</v>
      </c>
      <c r="BA51" s="11">
        <f t="shared" si="34"/>
        <v>0.81697547127667602</v>
      </c>
      <c r="BB51" s="67"/>
      <c r="BC51" s="11">
        <f t="shared" si="35"/>
        <v>0.30577586047091043</v>
      </c>
      <c r="BD51" s="67"/>
      <c r="BE51" s="11">
        <f t="shared" si="36"/>
        <v>0.19102186171514896</v>
      </c>
      <c r="BF51" s="128">
        <f>DATOS!$J$12*BE51*$B$16</f>
        <v>86671.631646880065</v>
      </c>
      <c r="BG51" s="67">
        <f t="shared" si="63"/>
        <v>1167526.6899246806</v>
      </c>
    </row>
    <row r="52" spans="1:59">
      <c r="A52" s="41">
        <f t="shared" si="39"/>
        <v>180</v>
      </c>
      <c r="B52" s="67">
        <f t="shared" si="37"/>
        <v>0.52707796587154043</v>
      </c>
      <c r="C52" s="67">
        <f t="shared" si="4"/>
        <v>0.53622808653687171</v>
      </c>
      <c r="D52" s="67">
        <f t="shared" si="5"/>
        <v>0.54587191525672474</v>
      </c>
      <c r="E52" s="67">
        <f t="shared" si="6"/>
        <v>0.55605550921882863</v>
      </c>
      <c r="F52" s="67">
        <f t="shared" si="7"/>
        <v>0.56683117439831143</v>
      </c>
      <c r="G52" s="67">
        <f t="shared" si="8"/>
        <v>0.57825859962273618</v>
      </c>
      <c r="H52" s="67">
        <f t="shared" si="9"/>
        <v>0.59040625278140002</v>
      </c>
      <c r="I52" s="67">
        <f t="shared" si="10"/>
        <v>0.60335311393993307</v>
      </c>
      <c r="J52" s="46"/>
      <c r="K52" s="67">
        <f t="shared" si="40"/>
        <v>1.0569512923319926</v>
      </c>
      <c r="L52" s="67">
        <f t="shared" si="41"/>
        <v>304.56051488546365</v>
      </c>
      <c r="M52" s="67">
        <f t="shared" si="42"/>
        <v>1.209833602496158</v>
      </c>
      <c r="N52" s="67">
        <f t="shared" si="43"/>
        <v>123142.45856834223</v>
      </c>
      <c r="O52" s="67">
        <f t="shared" si="44"/>
        <v>0.67747480764822643</v>
      </c>
      <c r="P52" s="128">
        <f>DATOS!$J$12*O52*$B$16</f>
        <v>307388.09920137736</v>
      </c>
      <c r="Q52" s="67">
        <f t="shared" si="45"/>
        <v>1.0231147488650483</v>
      </c>
      <c r="R52" s="67"/>
      <c r="S52" s="67">
        <f t="shared" si="46"/>
        <v>1.0163359619568972</v>
      </c>
      <c r="T52" s="67"/>
      <c r="U52" s="67">
        <f t="shared" si="47"/>
        <v>0.61704757778341668</v>
      </c>
      <c r="V52" s="128">
        <f>DATOS!$J$12*U52*$B$16</f>
        <v>279970.6792199199</v>
      </c>
      <c r="W52" s="49">
        <f t="shared" si="48"/>
        <v>0.98927820539810385</v>
      </c>
      <c r="X52" s="67"/>
      <c r="Y52" s="52">
        <f t="shared" si="49"/>
        <v>0.84869392986160019</v>
      </c>
      <c r="Z52" s="67"/>
      <c r="AA52" s="67">
        <f t="shared" si="50"/>
        <v>0.54144346307203972</v>
      </c>
      <c r="AB52" s="128">
        <f>DATOS!$J$12*AA52*$B$16</f>
        <v>245667.10829658582</v>
      </c>
      <c r="AC52" s="11">
        <f t="shared" si="51"/>
        <v>0.95544166193115965</v>
      </c>
      <c r="AD52" s="67"/>
      <c r="AE52" s="11">
        <f t="shared" si="52"/>
        <v>0.70417762220525937</v>
      </c>
      <c r="AF52" s="67"/>
      <c r="AG52" s="11">
        <f t="shared" si="53"/>
        <v>0.44687905151741797</v>
      </c>
      <c r="AH52" s="11">
        <f>DATOS!$J$12*AG52*$B$16</f>
        <v>202760.75312040147</v>
      </c>
      <c r="AI52" s="11">
        <f t="shared" si="54"/>
        <v>0.92160511846421533</v>
      </c>
      <c r="AJ52" s="67"/>
      <c r="AK52" s="11">
        <f t="shared" si="55"/>
        <v>0.58026364117716644</v>
      </c>
      <c r="AL52" s="67"/>
      <c r="AM52" s="11">
        <f t="shared" si="56"/>
        <v>0.3661973411713878</v>
      </c>
      <c r="AN52" s="128">
        <f>DATOS!$J$12*AM52*$B$16</f>
        <v>166153.343806283</v>
      </c>
      <c r="AO52" s="11">
        <f t="shared" si="57"/>
        <v>0.88776857499727091</v>
      </c>
      <c r="AP52" s="67"/>
      <c r="AQ52" s="11">
        <f t="shared" si="58"/>
        <v>0.47462607397348855</v>
      </c>
      <c r="AR52" s="67"/>
      <c r="AS52" s="11">
        <f t="shared" si="59"/>
        <v>0.29777458405603152</v>
      </c>
      <c r="AT52" s="128">
        <f>DATOS!$J$12*AS52*$B$16</f>
        <v>135108.14328463087</v>
      </c>
      <c r="AU52" s="11">
        <f t="shared" si="60"/>
        <v>0.85393203153032682</v>
      </c>
      <c r="AV52" s="67"/>
      <c r="AW52" s="11">
        <f t="shared" si="61"/>
        <v>0.38512757450255697</v>
      </c>
      <c r="AX52" s="67"/>
      <c r="AY52" s="11">
        <f t="shared" si="62"/>
        <v>0.24012484790462171</v>
      </c>
      <c r="AZ52" s="128">
        <f>DATOS!$J$12*AY52*$B$16</f>
        <v>108950.94509071042</v>
      </c>
      <c r="BA52" s="11">
        <f t="shared" ref="BA52:BA84" si="64">E$14*(1+0.205*(I52)^2)</f>
        <v>0.82009548806338239</v>
      </c>
      <c r="BB52" s="67"/>
      <c r="BC52" s="11">
        <f t="shared" ref="BC52:BC84" si="65">G$14*(1+(0.205)*(I52)^2)^(1.41/0.41)</f>
        <v>0.30981053028542466</v>
      </c>
      <c r="BD52" s="67"/>
      <c r="BE52" s="11">
        <f t="shared" ref="BE52:BE84" si="66">IF(BA52&gt;1,BC52*(1-0.49*(SQRT(I52))-3*(BA52-1)/(1.5+I52)), BC52*(1-0.49*(SQRT(I52))))</f>
        <v>0.19189309236643307</v>
      </c>
      <c r="BF52" s="128">
        <f>DATOS!$J$12*BE52*$B$16</f>
        <v>87066.93185707365</v>
      </c>
      <c r="BG52" s="67">
        <f t="shared" si="63"/>
        <v>1167177.903188207</v>
      </c>
    </row>
    <row r="53" spans="1:59">
      <c r="A53" s="41">
        <f t="shared" si="39"/>
        <v>185</v>
      </c>
      <c r="B53" s="67">
        <f t="shared" si="37"/>
        <v>0.54171902047908316</v>
      </c>
      <c r="C53" s="67">
        <f t="shared" si="4"/>
        <v>0.55112331116289592</v>
      </c>
      <c r="D53" s="67">
        <f t="shared" si="5"/>
        <v>0.56103502401385597</v>
      </c>
      <c r="E53" s="67">
        <f t="shared" si="6"/>
        <v>0.57150149558601826</v>
      </c>
      <c r="F53" s="67">
        <f t="shared" si="7"/>
        <v>0.58257648479826452</v>
      </c>
      <c r="G53" s="67">
        <f t="shared" si="8"/>
        <v>0.59432133850114555</v>
      </c>
      <c r="H53" s="67">
        <f t="shared" si="9"/>
        <v>0.60680642646977223</v>
      </c>
      <c r="I53" s="67">
        <f t="shared" si="10"/>
        <v>0.62011292266048679</v>
      </c>
      <c r="J53" s="46"/>
      <c r="K53" s="67">
        <f t="shared" si="40"/>
        <v>1.0601591969155075</v>
      </c>
      <c r="L53" s="67">
        <f t="shared" si="41"/>
        <v>305.4848725912035</v>
      </c>
      <c r="M53" s="67">
        <f t="shared" si="42"/>
        <v>1.2225082000772594</v>
      </c>
      <c r="N53" s="67">
        <f t="shared" si="43"/>
        <v>124432.53771995527</v>
      </c>
      <c r="O53" s="67">
        <f t="shared" si="44"/>
        <v>0.67354995943369089</v>
      </c>
      <c r="P53" s="128">
        <f>DATOS!$J$12*O53*$B$16</f>
        <v>305607.29256665095</v>
      </c>
      <c r="Q53" s="67">
        <f t="shared" si="45"/>
        <v>1.0263226534485632</v>
      </c>
      <c r="R53" s="67"/>
      <c r="S53" s="67">
        <f t="shared" si="46"/>
        <v>1.0273368964169558</v>
      </c>
      <c r="T53" s="67"/>
      <c r="U53" s="67">
        <f t="shared" si="47"/>
        <v>0.61407574233860951</v>
      </c>
      <c r="V53" s="128">
        <f>DATOS!$J$12*U53*$B$16</f>
        <v>278622.27948873327</v>
      </c>
      <c r="W53" s="49">
        <f t="shared" si="48"/>
        <v>0.9924861099816189</v>
      </c>
      <c r="X53" s="67"/>
      <c r="Y53" s="52">
        <f t="shared" si="49"/>
        <v>0.85819573315696274</v>
      </c>
      <c r="Z53" s="67"/>
      <c r="AA53" s="67">
        <f t="shared" si="50"/>
        <v>0.54321976611487466</v>
      </c>
      <c r="AB53" s="128">
        <f>DATOS!$J$12*AA53*$B$16</f>
        <v>246473.06360264076</v>
      </c>
      <c r="AC53" s="11">
        <f t="shared" si="51"/>
        <v>0.9586495665146747</v>
      </c>
      <c r="AD53" s="67"/>
      <c r="AE53" s="11">
        <f t="shared" si="52"/>
        <v>0.71234179512698159</v>
      </c>
      <c r="AF53" s="67"/>
      <c r="AG53" s="11">
        <f t="shared" si="53"/>
        <v>0.44846986605635586</v>
      </c>
      <c r="AH53" s="11">
        <f>DATOS!$J$12*AG53*$B$16</f>
        <v>203482.54742446353</v>
      </c>
      <c r="AI53" s="11">
        <f t="shared" si="54"/>
        <v>0.92481302304773039</v>
      </c>
      <c r="AJ53" s="67"/>
      <c r="AK53" s="11">
        <f t="shared" si="55"/>
        <v>0.58723921372338983</v>
      </c>
      <c r="AL53" s="67"/>
      <c r="AM53" s="11">
        <f t="shared" si="56"/>
        <v>0.36761126575271541</v>
      </c>
      <c r="AN53" s="128">
        <f>DATOS!$J$12*AM53*$B$16</f>
        <v>166794.87849445411</v>
      </c>
      <c r="AO53" s="11">
        <f t="shared" si="57"/>
        <v>0.89097647958078596</v>
      </c>
      <c r="AP53" s="67"/>
      <c r="AQ53" s="11">
        <f t="shared" si="58"/>
        <v>0.48055016063462846</v>
      </c>
      <c r="AR53" s="67"/>
      <c r="AS53" s="11">
        <f t="shared" si="59"/>
        <v>0.29902138915849918</v>
      </c>
      <c r="AT53" s="128">
        <f>DATOS!$J$12*AS53*$B$16</f>
        <v>135673.85147952675</v>
      </c>
      <c r="AU53" s="11">
        <f t="shared" si="60"/>
        <v>0.85713993611384187</v>
      </c>
      <c r="AV53" s="67"/>
      <c r="AW53" s="11">
        <f t="shared" si="61"/>
        <v>0.39012592432010212</v>
      </c>
      <c r="AX53" s="67"/>
      <c r="AY53" s="11">
        <f t="shared" si="62"/>
        <v>0.24121519987178633</v>
      </c>
      <c r="AZ53" s="128">
        <f>DATOS!$J$12*AY53*$B$16</f>
        <v>109445.66639231968</v>
      </c>
      <c r="BA53" s="11">
        <f t="shared" si="64"/>
        <v>0.82330339264689745</v>
      </c>
      <c r="BB53" s="67"/>
      <c r="BC53" s="11">
        <f t="shared" si="65"/>
        <v>0.31399807153588027</v>
      </c>
      <c r="BD53" s="67"/>
      <c r="BE53" s="11">
        <f t="shared" si="66"/>
        <v>0.19283829832956306</v>
      </c>
      <c r="BF53" s="128">
        <f>DATOS!$J$12*BE53*$B$16</f>
        <v>87495.796607585813</v>
      </c>
      <c r="BG53" s="67">
        <f t="shared" si="63"/>
        <v>1166799.5013233393</v>
      </c>
    </row>
    <row r="54" spans="1:59">
      <c r="A54" s="41">
        <f t="shared" si="39"/>
        <v>190</v>
      </c>
      <c r="B54" s="67">
        <f t="shared" si="37"/>
        <v>0.55636007508662599</v>
      </c>
      <c r="C54" s="67">
        <f t="shared" si="4"/>
        <v>0.56601853578892014</v>
      </c>
      <c r="D54" s="67">
        <f t="shared" si="5"/>
        <v>0.57619813277098719</v>
      </c>
      <c r="E54" s="67">
        <f t="shared" si="6"/>
        <v>0.58694748195320789</v>
      </c>
      <c r="F54" s="67">
        <f t="shared" si="7"/>
        <v>0.5983217951982176</v>
      </c>
      <c r="G54" s="67">
        <f t="shared" si="8"/>
        <v>0.61038407737955491</v>
      </c>
      <c r="H54" s="67">
        <f t="shared" si="9"/>
        <v>0.62320660015814444</v>
      </c>
      <c r="I54" s="67">
        <f t="shared" si="10"/>
        <v>0.6368727313810405</v>
      </c>
      <c r="J54" s="46"/>
      <c r="K54" s="67">
        <f t="shared" si="40"/>
        <v>1.0634549892958312</v>
      </c>
      <c r="L54" s="67">
        <f t="shared" si="41"/>
        <v>306.43455516559374</v>
      </c>
      <c r="M54" s="67">
        <f t="shared" si="42"/>
        <v>1.2356278310968885</v>
      </c>
      <c r="N54" s="67">
        <f t="shared" si="43"/>
        <v>125767.91443286298</v>
      </c>
      <c r="O54" s="67">
        <f t="shared" si="44"/>
        <v>0.66963300833747208</v>
      </c>
      <c r="P54" s="128">
        <f>DATOS!$J$12*O54*$B$16</f>
        <v>303830.06906174886</v>
      </c>
      <c r="Q54" s="67">
        <f t="shared" si="45"/>
        <v>1.0296184458288868</v>
      </c>
      <c r="R54" s="67"/>
      <c r="S54" s="67">
        <f t="shared" si="46"/>
        <v>1.0387269071754086</v>
      </c>
      <c r="T54" s="67"/>
      <c r="U54" s="67">
        <f t="shared" si="47"/>
        <v>0.61112915636464893</v>
      </c>
      <c r="V54" s="128">
        <f>DATOS!$J$12*U54*$B$16</f>
        <v>277285.33610509167</v>
      </c>
      <c r="W54" s="49">
        <f t="shared" si="48"/>
        <v>0.99578190236194264</v>
      </c>
      <c r="X54" s="67"/>
      <c r="Y54" s="52">
        <f t="shared" si="49"/>
        <v>0.86803618434537932</v>
      </c>
      <c r="Z54" s="67"/>
      <c r="AA54" s="67">
        <f t="shared" si="50"/>
        <v>0.54517202854411284</v>
      </c>
      <c r="AB54" s="128">
        <f>DATOS!$J$12*AA54*$B$16</f>
        <v>247358.85630000907</v>
      </c>
      <c r="AC54" s="11">
        <f t="shared" si="51"/>
        <v>0.96194535889499833</v>
      </c>
      <c r="AD54" s="67"/>
      <c r="AE54" s="11">
        <f t="shared" si="52"/>
        <v>0.72079932745780628</v>
      </c>
      <c r="AF54" s="67"/>
      <c r="AG54" s="11">
        <f t="shared" si="53"/>
        <v>0.45021036669251147</v>
      </c>
      <c r="AH54" s="11">
        <f>DATOS!$J$12*AG54*$B$16</f>
        <v>204272.25823904554</v>
      </c>
      <c r="AI54" s="11">
        <f t="shared" si="54"/>
        <v>0.9281088154280539</v>
      </c>
      <c r="AJ54" s="67"/>
      <c r="AK54" s="11">
        <f t="shared" si="55"/>
        <v>0.59446762394093122</v>
      </c>
      <c r="AL54" s="67"/>
      <c r="AM54" s="11">
        <f t="shared" si="56"/>
        <v>0.3691517972607159</v>
      </c>
      <c r="AN54" s="128">
        <f>DATOS!$J$12*AM54*$B$16</f>
        <v>167493.8580678023</v>
      </c>
      <c r="AO54" s="11">
        <f t="shared" si="57"/>
        <v>0.89427227196110959</v>
      </c>
      <c r="AP54" s="67"/>
      <c r="AQ54" s="11">
        <f t="shared" si="58"/>
        <v>0.48669097230677072</v>
      </c>
      <c r="AR54" s="67"/>
      <c r="AS54" s="11">
        <f t="shared" si="59"/>
        <v>0.30037462191127506</v>
      </c>
      <c r="AT54" s="128">
        <f>DATOS!$J$12*AS54*$B$16</f>
        <v>136287.84869234831</v>
      </c>
      <c r="AU54" s="11">
        <f t="shared" si="60"/>
        <v>0.86043572849416539</v>
      </c>
      <c r="AV54" s="67"/>
      <c r="AW54" s="11">
        <f t="shared" si="61"/>
        <v>0.39530895326867188</v>
      </c>
      <c r="AX54" s="67"/>
      <c r="AY54" s="11">
        <f t="shared" si="62"/>
        <v>0.24239442376487888</v>
      </c>
      <c r="AZ54" s="128">
        <f>DATOS!$J$12*AY54*$B$16</f>
        <v>109980.71121898841</v>
      </c>
      <c r="BA54" s="11">
        <f t="shared" si="64"/>
        <v>0.82659918502722118</v>
      </c>
      <c r="BB54" s="67"/>
      <c r="BC54" s="11">
        <f t="shared" si="65"/>
        <v>0.31834198575369532</v>
      </c>
      <c r="BD54" s="67"/>
      <c r="BE54" s="11">
        <f t="shared" si="66"/>
        <v>0.19385718509578678</v>
      </c>
      <c r="BF54" s="128">
        <f>DATOS!$J$12*BE54*$B$16</f>
        <v>87958.092272066919</v>
      </c>
      <c r="BG54" s="67">
        <f t="shared" si="63"/>
        <v>1166391.602233123</v>
      </c>
    </row>
    <row r="55" spans="1:59">
      <c r="A55" s="41">
        <f t="shared" si="39"/>
        <v>195</v>
      </c>
      <c r="B55" s="67">
        <f t="shared" si="37"/>
        <v>0.57100112969416872</v>
      </c>
      <c r="C55" s="67">
        <f t="shared" si="4"/>
        <v>0.58091376041494436</v>
      </c>
      <c r="D55" s="67">
        <f t="shared" si="5"/>
        <v>0.59136124152811842</v>
      </c>
      <c r="E55" s="67">
        <f t="shared" si="6"/>
        <v>0.60239346832039764</v>
      </c>
      <c r="F55" s="67">
        <f t="shared" si="7"/>
        <v>0.61406710559817068</v>
      </c>
      <c r="G55" s="67">
        <f t="shared" si="8"/>
        <v>0.62644681625796428</v>
      </c>
      <c r="H55" s="67">
        <f t="shared" si="9"/>
        <v>0.63960677384651665</v>
      </c>
      <c r="I55" s="67">
        <f t="shared" si="10"/>
        <v>0.65363254010159411</v>
      </c>
      <c r="J55" s="46"/>
      <c r="K55" s="67">
        <f t="shared" si="40"/>
        <v>1.0668386694729635</v>
      </c>
      <c r="L55" s="67">
        <f t="shared" si="41"/>
        <v>307.40956260863442</v>
      </c>
      <c r="M55" s="67">
        <f t="shared" si="42"/>
        <v>1.2492008855576979</v>
      </c>
      <c r="N55" s="67">
        <f t="shared" si="43"/>
        <v>127149.44268033236</v>
      </c>
      <c r="O55" s="67">
        <f t="shared" si="44"/>
        <v>0.66571485116240792</v>
      </c>
      <c r="P55" s="128">
        <f>DATOS!$J$12*O55*$B$16</f>
        <v>302052.29832722351</v>
      </c>
      <c r="Q55" s="67">
        <f t="shared" si="45"/>
        <v>1.0330021260060192</v>
      </c>
      <c r="R55" s="67"/>
      <c r="S55" s="67">
        <f t="shared" si="46"/>
        <v>1.0505135310085458</v>
      </c>
      <c r="T55" s="67"/>
      <c r="U55" s="67">
        <f t="shared" si="47"/>
        <v>0.60820001660342915</v>
      </c>
      <c r="V55" s="128">
        <f>DATOS!$J$12*U55*$B$16</f>
        <v>275956.30852601147</v>
      </c>
      <c r="W55" s="49">
        <f t="shared" si="48"/>
        <v>0.99916558253907495</v>
      </c>
      <c r="X55" s="67"/>
      <c r="Y55" s="52">
        <f t="shared" si="49"/>
        <v>0.87822202899174362</v>
      </c>
      <c r="Z55" s="67"/>
      <c r="AA55" s="67">
        <f t="shared" si="50"/>
        <v>0.54729911866837022</v>
      </c>
      <c r="AB55" s="128">
        <f>DATOS!$J$12*AA55*$B$16</f>
        <v>248323.97291061073</v>
      </c>
      <c r="AC55" s="11">
        <f t="shared" si="51"/>
        <v>0.96532903907213052</v>
      </c>
      <c r="AD55" s="67"/>
      <c r="AE55" s="11">
        <f t="shared" si="52"/>
        <v>0.72955623297528627</v>
      </c>
      <c r="AF55" s="67"/>
      <c r="AG55" s="11">
        <f t="shared" si="53"/>
        <v>0.45209968453569488</v>
      </c>
      <c r="AH55" s="11">
        <f>DATOS!$J$12*AG55*$B$16</f>
        <v>205129.49132586599</v>
      </c>
      <c r="AI55" s="11">
        <f t="shared" si="54"/>
        <v>0.93149249560518621</v>
      </c>
      <c r="AJ55" s="67"/>
      <c r="AK55" s="11">
        <f t="shared" si="55"/>
        <v>0.60195421067594179</v>
      </c>
      <c r="AL55" s="67"/>
      <c r="AM55" s="11">
        <f t="shared" si="56"/>
        <v>0.37081828498175023</v>
      </c>
      <c r="AN55" s="128">
        <f>DATOS!$J$12*AM55*$B$16</f>
        <v>168249.98728047282</v>
      </c>
      <c r="AO55" s="11">
        <f t="shared" si="57"/>
        <v>0.89765595213824179</v>
      </c>
      <c r="AP55" s="67"/>
      <c r="AQ55" s="11">
        <f t="shared" si="58"/>
        <v>0.49305322721589628</v>
      </c>
      <c r="AR55" s="67"/>
      <c r="AS55" s="11">
        <f t="shared" si="59"/>
        <v>0.30183381055357617</v>
      </c>
      <c r="AT55" s="128">
        <f>DATOS!$J$12*AS55*$B$16</f>
        <v>136949.92087284787</v>
      </c>
      <c r="AU55" s="11">
        <f t="shared" si="60"/>
        <v>0.86381940867129769</v>
      </c>
      <c r="AV55" s="67"/>
      <c r="AW55" s="11">
        <f t="shared" si="61"/>
        <v>0.40068081074464745</v>
      </c>
      <c r="AX55" s="67"/>
      <c r="AY55" s="11">
        <f t="shared" si="62"/>
        <v>0.24366219253753385</v>
      </c>
      <c r="AZ55" s="128">
        <f>DATOS!$J$12*AY55*$B$16</f>
        <v>110555.93118119787</v>
      </c>
      <c r="BA55" s="11">
        <f t="shared" si="64"/>
        <v>0.82998286520435338</v>
      </c>
      <c r="BB55" s="67"/>
      <c r="BC55" s="11">
        <f t="shared" si="65"/>
        <v>0.32284590280028863</v>
      </c>
      <c r="BD55" s="67"/>
      <c r="BE55" s="11">
        <f t="shared" si="66"/>
        <v>0.19494954067883954</v>
      </c>
      <c r="BF55" s="128">
        <f>DATOS!$J$12*BE55*$B$16</f>
        <v>88453.722666785528</v>
      </c>
      <c r="BG55" s="67">
        <f t="shared" si="63"/>
        <v>1165954.2907837147</v>
      </c>
    </row>
    <row r="56" spans="1:59">
      <c r="A56" s="41">
        <f t="shared" si="39"/>
        <v>200</v>
      </c>
      <c r="B56" s="67">
        <f t="shared" si="37"/>
        <v>0.58564218430171155</v>
      </c>
      <c r="C56" s="67">
        <f t="shared" si="4"/>
        <v>0.59580898504096858</v>
      </c>
      <c r="D56" s="67">
        <f t="shared" si="5"/>
        <v>0.60652435028524965</v>
      </c>
      <c r="E56" s="67">
        <f t="shared" si="6"/>
        <v>0.61783945468758728</v>
      </c>
      <c r="F56" s="67">
        <f t="shared" si="7"/>
        <v>0.62981241599812376</v>
      </c>
      <c r="G56" s="67">
        <f t="shared" si="8"/>
        <v>0.64250955513637353</v>
      </c>
      <c r="H56" s="67">
        <f t="shared" si="9"/>
        <v>0.65600694753488886</v>
      </c>
      <c r="I56" s="67">
        <f t="shared" si="10"/>
        <v>0.67039234882214782</v>
      </c>
      <c r="J56" s="46"/>
      <c r="K56" s="67">
        <f t="shared" si="40"/>
        <v>1.0703102374469045</v>
      </c>
      <c r="L56" s="67">
        <f t="shared" si="41"/>
        <v>308.40989492032548</v>
      </c>
      <c r="M56" s="67">
        <f t="shared" si="42"/>
        <v>1.2632360394247562</v>
      </c>
      <c r="N56" s="67">
        <f t="shared" si="43"/>
        <v>128578.00554220742</v>
      </c>
      <c r="O56" s="67">
        <f t="shared" si="44"/>
        <v>0.66178631478586281</v>
      </c>
      <c r="P56" s="128">
        <f>DATOS!$J$12*O56*$B$16</f>
        <v>300269.81827660487</v>
      </c>
      <c r="Q56" s="67">
        <f t="shared" si="45"/>
        <v>1.0364736939799601</v>
      </c>
      <c r="R56" s="67"/>
      <c r="S56" s="67">
        <f t="shared" si="46"/>
        <v>1.0627045633345322</v>
      </c>
      <c r="T56" s="67"/>
      <c r="U56" s="67">
        <f t="shared" si="47"/>
        <v>0.60528046565610327</v>
      </c>
      <c r="V56" s="128">
        <f>DATOS!$J$12*U56*$B$16</f>
        <v>274631.63164343429</v>
      </c>
      <c r="W56" s="49">
        <f t="shared" si="48"/>
        <v>1.0026371505130158</v>
      </c>
      <c r="X56" s="67"/>
      <c r="Y56" s="52">
        <f t="shared" si="49"/>
        <v>0.88876024582887303</v>
      </c>
      <c r="Z56" s="67"/>
      <c r="AA56" s="67">
        <f t="shared" si="50"/>
        <v>0.54626218635545487</v>
      </c>
      <c r="AB56" s="128">
        <f>DATOS!$J$12*AA56*$B$16</f>
        <v>247853.48950802637</v>
      </c>
      <c r="AC56" s="11">
        <f t="shared" si="51"/>
        <v>0.9688006070460714</v>
      </c>
      <c r="AD56" s="67"/>
      <c r="AE56" s="11">
        <f t="shared" si="52"/>
        <v>0.73861873492672869</v>
      </c>
      <c r="AF56" s="67"/>
      <c r="AG56" s="11">
        <f t="shared" si="53"/>
        <v>0.45413711091546111</v>
      </c>
      <c r="AH56" s="11">
        <f>DATOS!$J$12*AG56*$B$16</f>
        <v>206053.92514254642</v>
      </c>
      <c r="AI56" s="11">
        <f t="shared" si="54"/>
        <v>0.9349640635791272</v>
      </c>
      <c r="AJ56" s="67"/>
      <c r="AK56" s="11">
        <f t="shared" si="55"/>
        <v>0.60970450025169742</v>
      </c>
      <c r="AL56" s="67"/>
      <c r="AM56" s="11">
        <f t="shared" si="56"/>
        <v>0.3726102131380078</v>
      </c>
      <c r="AN56" s="128">
        <f>DATOS!$J$12*AM56*$B$16</f>
        <v>169063.03211053752</v>
      </c>
      <c r="AO56" s="11">
        <f t="shared" si="57"/>
        <v>0.90112752011218267</v>
      </c>
      <c r="AP56" s="67"/>
      <c r="AQ56" s="11">
        <f t="shared" si="58"/>
        <v>0.49964181070834851</v>
      </c>
      <c r="AR56" s="67"/>
      <c r="AS56" s="11">
        <f t="shared" si="59"/>
        <v>0.30339859626462923</v>
      </c>
      <c r="AT56" s="128">
        <f>DATOS!$J$12*AS56*$B$16</f>
        <v>137659.90521462404</v>
      </c>
      <c r="AU56" s="11">
        <f t="shared" si="60"/>
        <v>0.86729097664523858</v>
      </c>
      <c r="AV56" s="67"/>
      <c r="AW56" s="11">
        <f t="shared" si="61"/>
        <v>0.40624579447479653</v>
      </c>
      <c r="AX56" s="67"/>
      <c r="AY56" s="11">
        <f t="shared" si="62"/>
        <v>0.24501827304367255</v>
      </c>
      <c r="AZ56" s="128">
        <f>DATOS!$J$12*AY56*$B$16</f>
        <v>111171.22049445371</v>
      </c>
      <c r="BA56" s="11">
        <f t="shared" si="64"/>
        <v>0.83345443317829437</v>
      </c>
      <c r="BB56" s="67"/>
      <c r="BC56" s="11">
        <f t="shared" si="65"/>
        <v>0.32751358357580324</v>
      </c>
      <c r="BD56" s="67"/>
      <c r="BE56" s="11">
        <f t="shared" si="66"/>
        <v>0.19611523060042999</v>
      </c>
      <c r="BF56" s="128">
        <f>DATOS!$J$12*BE56*$B$16</f>
        <v>88982.626775411714</v>
      </c>
      <c r="BG56" s="67">
        <f t="shared" si="63"/>
        <v>1165487.620811885</v>
      </c>
    </row>
    <row r="57" spans="1:59">
      <c r="A57" s="41">
        <f t="shared" si="39"/>
        <v>205</v>
      </c>
      <c r="B57" s="67">
        <f t="shared" si="37"/>
        <v>0.60028323890925428</v>
      </c>
      <c r="C57" s="67">
        <f t="shared" si="4"/>
        <v>0.61070420966699279</v>
      </c>
      <c r="D57" s="67">
        <f t="shared" si="5"/>
        <v>0.62168745904238087</v>
      </c>
      <c r="E57" s="67">
        <f t="shared" si="6"/>
        <v>0.63328544105477702</v>
      </c>
      <c r="F57" s="67">
        <f t="shared" si="7"/>
        <v>0.64555772639807685</v>
      </c>
      <c r="G57" s="67">
        <f t="shared" si="8"/>
        <v>0.6585722940147829</v>
      </c>
      <c r="H57" s="67">
        <f t="shared" si="9"/>
        <v>0.67240712122326107</v>
      </c>
      <c r="I57" s="67">
        <f t="shared" si="10"/>
        <v>0.68715215754270154</v>
      </c>
      <c r="J57" s="46"/>
      <c r="K57" s="67">
        <f t="shared" si="40"/>
        <v>1.0738696932176539</v>
      </c>
      <c r="L57" s="67">
        <f t="shared" si="41"/>
        <v>309.43555210066694</v>
      </c>
      <c r="M57" s="67">
        <f t="shared" si="42"/>
        <v>1.2777422596638115</v>
      </c>
      <c r="N57" s="67">
        <f t="shared" si="43"/>
        <v>130054.51571772703</v>
      </c>
      <c r="O57" s="67">
        <f t="shared" si="44"/>
        <v>0.65783813279166792</v>
      </c>
      <c r="P57" s="128">
        <f>DATOS!$J$12*O57*$B$16</f>
        <v>298478.42449369858</v>
      </c>
      <c r="Q57" s="67">
        <f t="shared" si="45"/>
        <v>1.0400331497507096</v>
      </c>
      <c r="R57" s="67"/>
      <c r="S57" s="67">
        <f t="shared" si="46"/>
        <v>1.0753080628855793</v>
      </c>
      <c r="T57" s="67"/>
      <c r="U57" s="67">
        <f t="shared" si="47"/>
        <v>0.60236257152330441</v>
      </c>
      <c r="V57" s="128">
        <f>DATOS!$J$12*U57*$B$16</f>
        <v>273307.7065010877</v>
      </c>
      <c r="W57" s="49">
        <f t="shared" si="48"/>
        <v>1.0061966062837653</v>
      </c>
      <c r="X57" s="67"/>
      <c r="Y57" s="52">
        <f t="shared" si="49"/>
        <v>0.89965805107886909</v>
      </c>
      <c r="Z57" s="67"/>
      <c r="AA57" s="67">
        <f t="shared" si="50"/>
        <v>0.54419155779727935</v>
      </c>
      <c r="AB57" s="128">
        <f>DATOS!$J$12*AA57*$B$16</f>
        <v>246913.9909916769</v>
      </c>
      <c r="AC57" s="11">
        <f t="shared" si="51"/>
        <v>0.97236006281682086</v>
      </c>
      <c r="AD57" s="67"/>
      <c r="AE57" s="11">
        <f t="shared" si="52"/>
        <v>0.7479932700148838</v>
      </c>
      <c r="AF57" s="67"/>
      <c r="AG57" s="11">
        <f t="shared" si="53"/>
        <v>0.45632208752878411</v>
      </c>
      <c r="AH57" s="11">
        <f>DATOS!$J$12*AG57*$B$16</f>
        <v>207045.30637235235</v>
      </c>
      <c r="AI57" s="11">
        <f t="shared" si="54"/>
        <v>0.93852351934987654</v>
      </c>
      <c r="AJ57" s="67"/>
      <c r="AK57" s="11">
        <f t="shared" si="55"/>
        <v>0.617724210133618</v>
      </c>
      <c r="AL57" s="67"/>
      <c r="AM57" s="11">
        <f t="shared" si="56"/>
        <v>0.37452719269570273</v>
      </c>
      <c r="AN57" s="128">
        <f>DATOS!$J$12*AM57*$B$16</f>
        <v>169932.81604315824</v>
      </c>
      <c r="AO57" s="11">
        <f t="shared" si="57"/>
        <v>0.90468697588293234</v>
      </c>
      <c r="AP57" s="67"/>
      <c r="AQ57" s="11">
        <f t="shared" si="58"/>
        <v>0.50646177861005182</v>
      </c>
      <c r="AR57" s="67"/>
      <c r="AS57" s="11">
        <f t="shared" si="59"/>
        <v>0.3050687263995055</v>
      </c>
      <c r="AT57" s="128">
        <f>DATOS!$J$12*AS57*$B$16</f>
        <v>138417.68708604251</v>
      </c>
      <c r="AU57" s="11">
        <f t="shared" si="60"/>
        <v>0.87085043241598814</v>
      </c>
      <c r="AV57" s="67"/>
      <c r="AW57" s="11">
        <f t="shared" si="61"/>
        <v>0.41200835358440968</v>
      </c>
      <c r="AX57" s="67"/>
      <c r="AY57" s="11">
        <f t="shared" si="62"/>
        <v>0.24646252049352649</v>
      </c>
      <c r="AZ57" s="128">
        <f>DATOS!$J$12*AY57*$B$16</f>
        <v>111826.51346383827</v>
      </c>
      <c r="BA57" s="11">
        <f t="shared" si="64"/>
        <v>0.83701388894904383</v>
      </c>
      <c r="BB57" s="67"/>
      <c r="BC57" s="11">
        <f t="shared" si="65"/>
        <v>0.33234892281072409</v>
      </c>
      <c r="BD57" s="67"/>
      <c r="BE57" s="11">
        <f t="shared" si="66"/>
        <v>0.19735419338251017</v>
      </c>
      <c r="BF57" s="128">
        <f>DATOS!$J$12*BE57*$B$16</f>
        <v>89544.776703741794</v>
      </c>
      <c r="BG57" s="67">
        <f t="shared" si="63"/>
        <v>1164991.6169296326</v>
      </c>
    </row>
    <row r="58" spans="1:59">
      <c r="A58" s="41">
        <f t="shared" si="39"/>
        <v>210</v>
      </c>
      <c r="B58" s="67">
        <f t="shared" si="37"/>
        <v>0.61492429351679712</v>
      </c>
      <c r="C58" s="67">
        <f t="shared" si="4"/>
        <v>0.62559943429301701</v>
      </c>
      <c r="D58" s="67">
        <f t="shared" si="5"/>
        <v>0.6368505677995121</v>
      </c>
      <c r="E58" s="67">
        <f t="shared" si="6"/>
        <v>0.64873142742196666</v>
      </c>
      <c r="F58" s="67">
        <f t="shared" si="7"/>
        <v>0.66130303679803004</v>
      </c>
      <c r="G58" s="67">
        <f t="shared" si="8"/>
        <v>0.67463503289319227</v>
      </c>
      <c r="H58" s="67">
        <f t="shared" si="9"/>
        <v>0.68880729491163328</v>
      </c>
      <c r="I58" s="67">
        <f t="shared" si="10"/>
        <v>0.70391196626325525</v>
      </c>
      <c r="J58" s="46"/>
      <c r="K58" s="67">
        <f t="shared" si="40"/>
        <v>1.077517036785212</v>
      </c>
      <c r="L58" s="67">
        <f t="shared" si="41"/>
        <v>310.48653414965884</v>
      </c>
      <c r="M58" s="67">
        <f t="shared" si="42"/>
        <v>1.2927288094264058</v>
      </c>
      <c r="N58" s="67">
        <f t="shared" si="43"/>
        <v>131579.91605328972</v>
      </c>
      <c r="O58" s="67">
        <f t="shared" si="44"/>
        <v>0.65386092335413948</v>
      </c>
      <c r="P58" s="128">
        <f>DATOS!$J$12*O58*$B$16</f>
        <v>296673.86019798467</v>
      </c>
      <c r="Q58" s="67">
        <f t="shared" si="45"/>
        <v>1.0436804933182677</v>
      </c>
      <c r="R58" s="67"/>
      <c r="S58" s="67">
        <f t="shared" si="46"/>
        <v>1.0883323565167524</v>
      </c>
      <c r="T58" s="67"/>
      <c r="U58" s="67">
        <f t="shared" si="47"/>
        <v>0.59943830819667721</v>
      </c>
      <c r="V58" s="128">
        <f>DATOS!$J$12*U58*$B$16</f>
        <v>271980.89148835442</v>
      </c>
      <c r="W58" s="49">
        <f t="shared" si="48"/>
        <v>1.0098439498513234</v>
      </c>
      <c r="X58" s="67"/>
      <c r="Y58" s="52">
        <f t="shared" si="49"/>
        <v>0.91092290290129252</v>
      </c>
      <c r="Z58" s="67"/>
      <c r="AA58" s="67">
        <f t="shared" si="50"/>
        <v>0.54213160655120507</v>
      </c>
      <c r="AB58" s="128">
        <f>DATOS!$J$12*AA58*$B$16</f>
        <v>245979.33705203244</v>
      </c>
      <c r="AC58" s="11">
        <f t="shared" si="51"/>
        <v>0.97600740638437922</v>
      </c>
      <c r="AD58" s="67"/>
      <c r="AE58" s="11">
        <f t="shared" si="52"/>
        <v>0.75768649250103992</v>
      </c>
      <c r="AF58" s="67"/>
      <c r="AG58" s="11">
        <f t="shared" si="53"/>
        <v>0.4586541975749247</v>
      </c>
      <c r="AH58" s="11">
        <f>DATOS!$J$12*AG58*$B$16</f>
        <v>208103.44590185027</v>
      </c>
      <c r="AI58" s="11">
        <f t="shared" si="54"/>
        <v>0.9421708629174349</v>
      </c>
      <c r="AJ58" s="67"/>
      <c r="AK58" s="11">
        <f t="shared" si="55"/>
        <v>0.62601925270268499</v>
      </c>
      <c r="AL58" s="67"/>
      <c r="AM58" s="11">
        <f t="shared" si="56"/>
        <v>0.376568953989943</v>
      </c>
      <c r="AN58" s="128">
        <f>DATOS!$J$12*AM58*$B$16</f>
        <v>170859.21672429668</v>
      </c>
      <c r="AO58" s="11">
        <f t="shared" si="57"/>
        <v>0.90833431945049037</v>
      </c>
      <c r="AP58" s="67"/>
      <c r="AQ58" s="11">
        <f t="shared" si="58"/>
        <v>0.51351836068549939</v>
      </c>
      <c r="AR58" s="67"/>
      <c r="AS58" s="11">
        <f t="shared" si="59"/>
        <v>0.30684404839539875</v>
      </c>
      <c r="AT58" s="128">
        <f>DATOS!$J$12*AS58*$B$16</f>
        <v>139223.19726535445</v>
      </c>
      <c r="AU58" s="11">
        <f t="shared" si="60"/>
        <v>0.87449777598354628</v>
      </c>
      <c r="AV58" s="67"/>
      <c r="AW58" s="11">
        <f t="shared" si="61"/>
        <v>0.41797309175697234</v>
      </c>
      <c r="AX58" s="67"/>
      <c r="AY58" s="11">
        <f t="shared" si="62"/>
        <v>0.24799487345548313</v>
      </c>
      <c r="AZ58" s="128">
        <f>DATOS!$J$12*AY58*$B$16</f>
        <v>112521.78221621676</v>
      </c>
      <c r="BA58" s="11">
        <f t="shared" si="64"/>
        <v>0.84066123251660196</v>
      </c>
      <c r="BB58" s="67"/>
      <c r="BC58" s="11">
        <f t="shared" si="65"/>
        <v>0.33735595194119344</v>
      </c>
      <c r="BD58" s="67"/>
      <c r="BE58" s="11">
        <f t="shared" si="66"/>
        <v>0.19866643647987234</v>
      </c>
      <c r="BF58" s="128">
        <f>DATOS!$J$12*BE58*$B$16</f>
        <v>90140.175834210604</v>
      </c>
      <c r="BG58" s="67">
        <f t="shared" si="63"/>
        <v>1164466.2761525209</v>
      </c>
    </row>
    <row r="59" spans="1:59">
      <c r="A59" s="41">
        <f t="shared" si="39"/>
        <v>215</v>
      </c>
      <c r="B59" s="67">
        <f t="shared" si="37"/>
        <v>0.62956534812433995</v>
      </c>
      <c r="C59" s="67">
        <f t="shared" si="4"/>
        <v>0.64049465891904123</v>
      </c>
      <c r="D59" s="67">
        <f t="shared" si="5"/>
        <v>0.65201367655664333</v>
      </c>
      <c r="E59" s="67">
        <f t="shared" si="6"/>
        <v>0.6641774137891564</v>
      </c>
      <c r="F59" s="67">
        <f t="shared" si="7"/>
        <v>0.67704834719798312</v>
      </c>
      <c r="G59" s="67">
        <f t="shared" si="8"/>
        <v>0.69069777177160163</v>
      </c>
      <c r="H59" s="67">
        <f t="shared" si="9"/>
        <v>0.70520746860000549</v>
      </c>
      <c r="I59" s="67">
        <f t="shared" si="10"/>
        <v>0.72067177498380897</v>
      </c>
      <c r="J59" s="46"/>
      <c r="K59" s="67">
        <f t="shared" si="40"/>
        <v>1.0812522681495789</v>
      </c>
      <c r="L59" s="67">
        <f t="shared" si="41"/>
        <v>311.56284106730112</v>
      </c>
      <c r="M59" s="67">
        <f t="shared" si="42"/>
        <v>1.3082052533830031</v>
      </c>
      <c r="N59" s="67">
        <f t="shared" si="43"/>
        <v>133155.18008528426</v>
      </c>
      <c r="O59" s="67">
        <f t="shared" si="44"/>
        <v>0.64984516816246596</v>
      </c>
      <c r="P59" s="128">
        <f>DATOS!$J$12*O59*$B$16</f>
        <v>294851.80668205884</v>
      </c>
      <c r="Q59" s="67">
        <f t="shared" si="45"/>
        <v>1.0474157246826346</v>
      </c>
      <c r="R59" s="67"/>
      <c r="S59" s="67">
        <f t="shared" si="46"/>
        <v>1.1017860441525278</v>
      </c>
      <c r="T59" s="67"/>
      <c r="U59" s="67">
        <f t="shared" si="47"/>
        <v>0.5964995371220928</v>
      </c>
      <c r="V59" s="128">
        <f>DATOS!$J$12*U59*$B$16</f>
        <v>270647.49392964615</v>
      </c>
      <c r="W59" s="49">
        <f t="shared" si="48"/>
        <v>1.0135791812156902</v>
      </c>
      <c r="X59" s="67"/>
      <c r="Y59" s="52">
        <f t="shared" si="49"/>
        <v>0.92256250596923151</v>
      </c>
      <c r="Z59" s="67"/>
      <c r="AA59" s="67">
        <f t="shared" si="50"/>
        <v>0.54007542739422498</v>
      </c>
      <c r="AB59" s="128">
        <f>DATOS!$J$12*AA59*$B$16</f>
        <v>245046.39460820096</v>
      </c>
      <c r="AC59" s="11">
        <f t="shared" si="51"/>
        <v>0.97974263774874593</v>
      </c>
      <c r="AD59" s="67"/>
      <c r="AE59" s="11">
        <f t="shared" si="52"/>
        <v>0.76770527842653868</v>
      </c>
      <c r="AF59" s="67"/>
      <c r="AG59" s="11">
        <f t="shared" si="53"/>
        <v>0.46113315775155816</v>
      </c>
      <c r="AH59" s="11">
        <f>DATOS!$J$12*AG59*$B$16</f>
        <v>209228.21518934079</v>
      </c>
      <c r="AI59" s="11">
        <f t="shared" si="54"/>
        <v>0.94590609428180161</v>
      </c>
      <c r="AJ59" s="67"/>
      <c r="AK59" s="11">
        <f t="shared" si="55"/>
        <v>0.63459573913820677</v>
      </c>
      <c r="AL59" s="67"/>
      <c r="AM59" s="11">
        <f t="shared" si="56"/>
        <v>0.378735340061993</v>
      </c>
      <c r="AN59" s="128">
        <f>DATOS!$J$12*AM59*$B$16</f>
        <v>171842.16293765546</v>
      </c>
      <c r="AO59" s="11">
        <f t="shared" si="57"/>
        <v>0.9120695508148573</v>
      </c>
      <c r="AP59" s="67"/>
      <c r="AQ59" s="11">
        <f t="shared" si="58"/>
        <v>0.52081696419742984</v>
      </c>
      <c r="AR59" s="67"/>
      <c r="AS59" s="11">
        <f t="shared" si="59"/>
        <v>0.30872450426263709</v>
      </c>
      <c r="AT59" s="128">
        <f>DATOS!$J$12*AS59*$B$16</f>
        <v>140076.4094411238</v>
      </c>
      <c r="AU59" s="11">
        <f t="shared" si="60"/>
        <v>0.8782330073479131</v>
      </c>
      <c r="AV59" s="67"/>
      <c r="AW59" s="11">
        <f t="shared" si="61"/>
        <v>0.42414477048624299</v>
      </c>
      <c r="AX59" s="67"/>
      <c r="AY59" s="11">
        <f t="shared" si="62"/>
        <v>0.24961534933384938</v>
      </c>
      <c r="AZ59" s="128">
        <f>DATOS!$J$12*AY59*$B$16</f>
        <v>113257.03464838001</v>
      </c>
      <c r="BA59" s="11">
        <f t="shared" si="64"/>
        <v>0.84439646388096889</v>
      </c>
      <c r="BB59" s="67"/>
      <c r="BC59" s="11">
        <f t="shared" si="65"/>
        <v>0.34253884206883123</v>
      </c>
      <c r="BD59" s="67"/>
      <c r="BE59" s="11">
        <f t="shared" si="66"/>
        <v>0.20005203259653045</v>
      </c>
      <c r="BF59" s="128">
        <f>DATOS!$J$12*BE59*$B$16</f>
        <v>90768.857154537283</v>
      </c>
      <c r="BG59" s="67">
        <f t="shared" si="63"/>
        <v>1163911.5693743702</v>
      </c>
    </row>
    <row r="60" spans="1:59">
      <c r="A60" s="41">
        <f t="shared" si="39"/>
        <v>220</v>
      </c>
      <c r="B60" s="67">
        <f t="shared" si="37"/>
        <v>0.64420640273188268</v>
      </c>
      <c r="C60" s="67">
        <f t="shared" si="4"/>
        <v>0.65538988354506544</v>
      </c>
      <c r="D60" s="67">
        <f t="shared" si="5"/>
        <v>0.66717678531377467</v>
      </c>
      <c r="E60" s="67">
        <f t="shared" si="6"/>
        <v>0.67962340015634604</v>
      </c>
      <c r="F60" s="67">
        <f t="shared" si="7"/>
        <v>0.69279365759793621</v>
      </c>
      <c r="G60" s="67">
        <f t="shared" si="8"/>
        <v>0.70676051065001089</v>
      </c>
      <c r="H60" s="67">
        <f t="shared" si="9"/>
        <v>0.7216076422883777</v>
      </c>
      <c r="I60" s="67">
        <f t="shared" si="10"/>
        <v>0.73743158370436268</v>
      </c>
      <c r="J60" s="46"/>
      <c r="K60" s="67">
        <f t="shared" si="40"/>
        <v>1.0850753873107544</v>
      </c>
      <c r="L60" s="67">
        <f t="shared" si="41"/>
        <v>312.66447285359385</v>
      </c>
      <c r="M60" s="67">
        <f t="shared" si="42"/>
        <v>1.3241814632053475</v>
      </c>
      <c r="N60" s="67">
        <f t="shared" si="43"/>
        <v>134781.31259810925</v>
      </c>
      <c r="O60" s="67">
        <f t="shared" si="44"/>
        <v>0.64578119220456554</v>
      </c>
      <c r="P60" s="128">
        <f>DATOS!$J$12*O60*$B$16</f>
        <v>293007.87413903838</v>
      </c>
      <c r="Q60" s="67">
        <f t="shared" si="45"/>
        <v>1.0512388438438101</v>
      </c>
      <c r="R60" s="67"/>
      <c r="S60" s="67">
        <f t="shared" si="46"/>
        <v>1.1156780038722443</v>
      </c>
      <c r="T60" s="67"/>
      <c r="U60" s="67">
        <f t="shared" si="47"/>
        <v>0.59353798938087998</v>
      </c>
      <c r="V60" s="128">
        <f>DATOS!$J$12*U60*$B$16</f>
        <v>269303.76199956052</v>
      </c>
      <c r="W60" s="49">
        <f t="shared" si="48"/>
        <v>1.0174023003768657</v>
      </c>
      <c r="X60" s="67"/>
      <c r="Y60" s="52">
        <f t="shared" si="49"/>
        <v>0.93458481617434441</v>
      </c>
      <c r="Z60" s="67"/>
      <c r="AA60" s="67">
        <f t="shared" si="50"/>
        <v>0.5380160075073176</v>
      </c>
      <c r="AB60" s="128">
        <f>DATOS!$J$12*AA60*$B$16</f>
        <v>244111.981760155</v>
      </c>
      <c r="AC60" s="11">
        <f t="shared" si="51"/>
        <v>0.98356575690992143</v>
      </c>
      <c r="AD60" s="67"/>
      <c r="AE60" s="11">
        <f t="shared" si="52"/>
        <v>0.77805672995375919</v>
      </c>
      <c r="AF60" s="67"/>
      <c r="AG60" s="11">
        <f t="shared" si="53"/>
        <v>0.46375881100471655</v>
      </c>
      <c r="AH60" s="11">
        <f>DATOS!$J$12*AG60*$B$16</f>
        <v>210419.54297531708</v>
      </c>
      <c r="AI60" s="11">
        <f t="shared" si="54"/>
        <v>0.949729213442977</v>
      </c>
      <c r="AJ60" s="67"/>
      <c r="AK60" s="11">
        <f t="shared" si="55"/>
        <v>0.6434599834109338</v>
      </c>
      <c r="AL60" s="67"/>
      <c r="AM60" s="11">
        <f t="shared" si="56"/>
        <v>0.38102630061993731</v>
      </c>
      <c r="AN60" s="128">
        <f>DATOS!$J$12*AM60*$B$16</f>
        <v>172881.6318644727</v>
      </c>
      <c r="AO60" s="11">
        <f t="shared" si="57"/>
        <v>0.91589266997603269</v>
      </c>
      <c r="AP60" s="67"/>
      <c r="AQ60" s="11">
        <f t="shared" si="58"/>
        <v>0.52836317756811402</v>
      </c>
      <c r="AR60" s="67"/>
      <c r="AS60" s="11">
        <f t="shared" si="59"/>
        <v>0.31071012558723404</v>
      </c>
      <c r="AT60" s="128">
        <f>DATOS!$J$12*AS60*$B$16</f>
        <v>140977.33794475385</v>
      </c>
      <c r="AU60" s="11">
        <f t="shared" si="60"/>
        <v>0.88205612650908849</v>
      </c>
      <c r="AV60" s="67"/>
      <c r="AW60" s="11">
        <f t="shared" si="61"/>
        <v>0.43052831242160955</v>
      </c>
      <c r="AX60" s="67"/>
      <c r="AY60" s="11">
        <f t="shared" si="62"/>
        <v>0.25132404026280858</v>
      </c>
      <c r="AZ60" s="128">
        <f>DATOS!$J$12*AY60*$B$16</f>
        <v>114032.31256402485</v>
      </c>
      <c r="BA60" s="11">
        <f t="shared" si="64"/>
        <v>0.84821958304214429</v>
      </c>
      <c r="BB60" s="67"/>
      <c r="BC60" s="11">
        <f t="shared" si="65"/>
        <v>0.34790190700589041</v>
      </c>
      <c r="BD60" s="67"/>
      <c r="BE60" s="11">
        <f t="shared" si="66"/>
        <v>0.2015111163375635</v>
      </c>
      <c r="BF60" s="128">
        <f>DATOS!$J$12*BE60*$B$16</f>
        <v>91430.881738578595</v>
      </c>
      <c r="BG60" s="67">
        <f t="shared" si="63"/>
        <v>1163327.4427076525</v>
      </c>
    </row>
    <row r="61" spans="1:59">
      <c r="A61" s="41">
        <f t="shared" si="39"/>
        <v>225</v>
      </c>
      <c r="B61" s="67">
        <f t="shared" si="37"/>
        <v>0.65884745733942551</v>
      </c>
      <c r="C61" s="67">
        <f t="shared" si="4"/>
        <v>0.67028510817108966</v>
      </c>
      <c r="D61" s="67">
        <f t="shared" si="5"/>
        <v>0.68233989407090589</v>
      </c>
      <c r="E61" s="67">
        <f t="shared" si="6"/>
        <v>0.69506938652353578</v>
      </c>
      <c r="F61" s="67">
        <f t="shared" si="7"/>
        <v>0.70853896799788929</v>
      </c>
      <c r="G61" s="67">
        <f t="shared" si="8"/>
        <v>0.72282324952842025</v>
      </c>
      <c r="H61" s="67">
        <f t="shared" si="9"/>
        <v>0.73800781597675003</v>
      </c>
      <c r="I61" s="67">
        <f t="shared" si="10"/>
        <v>0.75419139242491628</v>
      </c>
      <c r="J61" s="46"/>
      <c r="K61" s="67">
        <f t="shared" si="40"/>
        <v>1.0889863942687383</v>
      </c>
      <c r="L61" s="67">
        <f t="shared" si="41"/>
        <v>313.79142950853691</v>
      </c>
      <c r="M61" s="67">
        <f t="shared" si="42"/>
        <v>1.3406676231992585</v>
      </c>
      <c r="N61" s="67">
        <f t="shared" si="43"/>
        <v>136459.35019750521</v>
      </c>
      <c r="O61" s="67">
        <f t="shared" si="44"/>
        <v>0.64165914425505099</v>
      </c>
      <c r="P61" s="128">
        <f>DATOS!$J$12*O61*$B$16</f>
        <v>291137.59280943929</v>
      </c>
      <c r="Q61" s="67">
        <f t="shared" si="45"/>
        <v>1.055149850801794</v>
      </c>
      <c r="R61" s="67"/>
      <c r="S61" s="67">
        <f t="shared" si="46"/>
        <v>1.1300173971356269</v>
      </c>
      <c r="T61" s="67"/>
      <c r="U61" s="67">
        <f t="shared" si="47"/>
        <v>0.59054524845695011</v>
      </c>
      <c r="V61" s="128">
        <f>DATOS!$J$12*U61*$B$16</f>
        <v>267945.87690387352</v>
      </c>
      <c r="W61" s="49">
        <f t="shared" si="48"/>
        <v>1.0213133073348497</v>
      </c>
      <c r="X61" s="67"/>
      <c r="Y61" s="52">
        <f t="shared" si="49"/>
        <v>0.94699804546199462</v>
      </c>
      <c r="Z61" s="67"/>
      <c r="AA61" s="67">
        <f t="shared" si="50"/>
        <v>0.53594621131703479</v>
      </c>
      <c r="AB61" s="128">
        <f>DATOS!$J$12*AA61*$B$16</f>
        <v>243172.86091096228</v>
      </c>
      <c r="AC61" s="11">
        <f t="shared" si="51"/>
        <v>0.98747676386790539</v>
      </c>
      <c r="AD61" s="67"/>
      <c r="AE61" s="11">
        <f t="shared" si="52"/>
        <v>0.78874817982760737</v>
      </c>
      <c r="AF61" s="67"/>
      <c r="AG61" s="11">
        <f t="shared" si="53"/>
        <v>0.46653111994045271</v>
      </c>
      <c r="AH61" s="11">
        <f>DATOS!$J$12*AG61*$B$16</f>
        <v>211677.41229316397</v>
      </c>
      <c r="AI61" s="11">
        <f t="shared" si="54"/>
        <v>0.95364022040096119</v>
      </c>
      <c r="AJ61" s="67"/>
      <c r="AK61" s="11">
        <f t="shared" si="55"/>
        <v>0.65261850638750918</v>
      </c>
      <c r="AL61" s="67"/>
      <c r="AM61" s="11">
        <f t="shared" si="56"/>
        <v>0.38344188654643824</v>
      </c>
      <c r="AN61" s="128">
        <f>DATOS!$J$12*AM61*$B$16</f>
        <v>173977.64659154764</v>
      </c>
      <c r="AO61" s="11">
        <f t="shared" si="57"/>
        <v>0.91980367693401677</v>
      </c>
      <c r="AP61" s="67"/>
      <c r="AQ61" s="11">
        <f t="shared" si="58"/>
        <v>0.5361627741432079</v>
      </c>
      <c r="AR61" s="67"/>
      <c r="AS61" s="11">
        <f t="shared" si="59"/>
        <v>0.31280102898221374</v>
      </c>
      <c r="AT61" s="128">
        <f>DATOS!$J$12*AS61*$B$16</f>
        <v>141926.03568663393</v>
      </c>
      <c r="AU61" s="11">
        <f t="shared" si="60"/>
        <v>0.88596713346707257</v>
      </c>
      <c r="AV61" s="67"/>
      <c r="AW61" s="11">
        <f t="shared" si="61"/>
        <v>0.43712880480762317</v>
      </c>
      <c r="AX61" s="67"/>
      <c r="AY61" s="11">
        <f t="shared" si="62"/>
        <v>0.25312110936532883</v>
      </c>
      <c r="AZ61" s="128">
        <f>DATOS!$J$12*AY61*$B$16</f>
        <v>114847.68997632276</v>
      </c>
      <c r="BA61" s="11">
        <f t="shared" si="64"/>
        <v>0.85213059000012836</v>
      </c>
      <c r="BB61" s="67"/>
      <c r="BC61" s="11">
        <f t="shared" si="65"/>
        <v>0.35344960640659162</v>
      </c>
      <c r="BD61" s="67"/>
      <c r="BE61" s="11">
        <f t="shared" si="66"/>
        <v>0.20304388115493183</v>
      </c>
      <c r="BF61" s="128">
        <f>DATOS!$J$12*BE61*$B$16</f>
        <v>92126.337360565711</v>
      </c>
      <c r="BG61" s="67">
        <f t="shared" si="63"/>
        <v>1162713.818706197</v>
      </c>
    </row>
    <row r="62" spans="1:59">
      <c r="A62" s="41">
        <f t="shared" si="39"/>
        <v>230</v>
      </c>
      <c r="B62" s="67">
        <f t="shared" si="37"/>
        <v>0.67348851194696824</v>
      </c>
      <c r="C62" s="67">
        <f t="shared" si="4"/>
        <v>0.68518033279711377</v>
      </c>
      <c r="D62" s="67">
        <f t="shared" si="5"/>
        <v>0.69750300282803712</v>
      </c>
      <c r="E62" s="67">
        <f t="shared" si="6"/>
        <v>0.71051537289072542</v>
      </c>
      <c r="F62" s="67">
        <f t="shared" si="7"/>
        <v>0.72428427839784237</v>
      </c>
      <c r="G62" s="67">
        <f t="shared" si="8"/>
        <v>0.73888598840682962</v>
      </c>
      <c r="H62" s="67">
        <f t="shared" si="9"/>
        <v>0.75440798966512224</v>
      </c>
      <c r="I62" s="67">
        <f t="shared" si="10"/>
        <v>0.77095120114547</v>
      </c>
      <c r="J62" s="46"/>
      <c r="K62" s="67">
        <f t="shared" si="40"/>
        <v>1.092985289023531</v>
      </c>
      <c r="L62" s="67">
        <f t="shared" si="41"/>
        <v>314.94371103213041</v>
      </c>
      <c r="M62" s="67">
        <f t="shared" si="42"/>
        <v>1.357674236089125</v>
      </c>
      <c r="N62" s="67">
        <f t="shared" si="43"/>
        <v>138190.36189932714</v>
      </c>
      <c r="O62" s="67">
        <f t="shared" si="44"/>
        <v>0.63746897793321378</v>
      </c>
      <c r="P62" s="128">
        <f>DATOS!$J$12*O62*$B$16</f>
        <v>289236.40438668698</v>
      </c>
      <c r="Q62" s="67">
        <f t="shared" si="45"/>
        <v>1.0591487455565867</v>
      </c>
      <c r="R62" s="67"/>
      <c r="S62" s="67">
        <f t="shared" si="46"/>
        <v>1.1448136741495532</v>
      </c>
      <c r="T62" s="67"/>
      <c r="U62" s="67">
        <f t="shared" si="47"/>
        <v>0.58751273347560651</v>
      </c>
      <c r="V62" s="128">
        <f>DATOS!$J$12*U62*$B$16</f>
        <v>266569.94527454727</v>
      </c>
      <c r="W62" s="49">
        <f t="shared" si="48"/>
        <v>1.0253122020896424</v>
      </c>
      <c r="X62" s="67"/>
      <c r="Y62" s="52">
        <f t="shared" si="49"/>
        <v>0.95981066679760352</v>
      </c>
      <c r="Z62" s="67"/>
      <c r="AA62" s="67">
        <f t="shared" si="50"/>
        <v>0.53385876572406143</v>
      </c>
      <c r="AB62" s="128">
        <f>DATOS!$J$12*AA62*$B$16</f>
        <v>242225.73206459556</v>
      </c>
      <c r="AC62" s="11">
        <f t="shared" si="51"/>
        <v>0.99147565862269815</v>
      </c>
      <c r="AD62" s="67"/>
      <c r="AE62" s="11">
        <f t="shared" si="52"/>
        <v>0.79978719595860692</v>
      </c>
      <c r="AF62" s="67"/>
      <c r="AG62" s="11">
        <f t="shared" si="53"/>
        <v>0.46945016081899693</v>
      </c>
      <c r="AH62" s="11">
        <f>DATOS!$J$12*AG62*$B$16</f>
        <v>213001.85774414925</v>
      </c>
      <c r="AI62" s="11">
        <f t="shared" si="54"/>
        <v>0.95763911515575373</v>
      </c>
      <c r="AJ62" s="67"/>
      <c r="AK62" s="11">
        <f t="shared" si="55"/>
        <v>0.66207804004728255</v>
      </c>
      <c r="AL62" s="67"/>
      <c r="AM62" s="11">
        <f t="shared" si="56"/>
        <v>0.38598224488791</v>
      </c>
      <c r="AN62" s="128">
        <f>DATOS!$J$12*AM62*$B$16</f>
        <v>175130.27383769734</v>
      </c>
      <c r="AO62" s="11">
        <f t="shared" si="57"/>
        <v>0.92380257168880953</v>
      </c>
      <c r="AP62" s="67"/>
      <c r="AQ62" s="11">
        <f t="shared" si="58"/>
        <v>0.54422171605913294</v>
      </c>
      <c r="AR62" s="67"/>
      <c r="AS62" s="11">
        <f t="shared" si="59"/>
        <v>0.31499741193364583</v>
      </c>
      <c r="AT62" s="128">
        <f>DATOS!$J$12*AS62*$B$16</f>
        <v>142922.59227137646</v>
      </c>
      <c r="AU62" s="11">
        <f t="shared" si="60"/>
        <v>0.88996602822186521</v>
      </c>
      <c r="AV62" s="67"/>
      <c r="AW62" s="11">
        <f t="shared" si="61"/>
        <v>0.44395150301861885</v>
      </c>
      <c r="AX62" s="67"/>
      <c r="AY62" s="11">
        <f t="shared" si="62"/>
        <v>0.25500678733286436</v>
      </c>
      <c r="AZ62" s="128">
        <f>DATOS!$J$12*AY62*$B$16</f>
        <v>115703.27155604052</v>
      </c>
      <c r="BA62" s="11">
        <f t="shared" si="64"/>
        <v>0.8561294847549209</v>
      </c>
      <c r="BB62" s="67"/>
      <c r="BC62" s="11">
        <f t="shared" si="65"/>
        <v>0.35918654898548963</v>
      </c>
      <c r="BD62" s="67"/>
      <c r="BE62" s="11">
        <f t="shared" si="66"/>
        <v>0.20465057655148894</v>
      </c>
      <c r="BF62" s="128">
        <f>DATOS!$J$12*BE62*$B$16</f>
        <v>92855.337226490956</v>
      </c>
      <c r="BG62" s="67">
        <f t="shared" si="63"/>
        <v>1162070.5974845299</v>
      </c>
    </row>
    <row r="63" spans="1:59">
      <c r="A63" s="41">
        <f t="shared" si="39"/>
        <v>235</v>
      </c>
      <c r="B63" s="67">
        <f t="shared" si="37"/>
        <v>0.68812956655451107</v>
      </c>
      <c r="C63" s="67">
        <f t="shared" si="4"/>
        <v>0.70007555742313798</v>
      </c>
      <c r="D63" s="67">
        <f t="shared" si="5"/>
        <v>0.71266611158516835</v>
      </c>
      <c r="E63" s="67">
        <f t="shared" si="6"/>
        <v>0.72596135925791505</v>
      </c>
      <c r="F63" s="67">
        <f t="shared" si="7"/>
        <v>0.74002958879779546</v>
      </c>
      <c r="G63" s="67">
        <f t="shared" si="8"/>
        <v>0.75494872728523899</v>
      </c>
      <c r="H63" s="67">
        <f t="shared" si="9"/>
        <v>0.77080816335349445</v>
      </c>
      <c r="I63" s="67">
        <f t="shared" si="10"/>
        <v>0.78771100986602371</v>
      </c>
      <c r="J63" s="46"/>
      <c r="K63" s="67">
        <f t="shared" si="40"/>
        <v>1.0970720715751323</v>
      </c>
      <c r="L63" s="67">
        <f t="shared" si="41"/>
        <v>316.12131742437435</v>
      </c>
      <c r="M63" s="67">
        <f t="shared" si="42"/>
        <v>1.3752121289553445</v>
      </c>
      <c r="N63" s="67">
        <f t="shared" si="43"/>
        <v>139975.44973388439</v>
      </c>
      <c r="O63" s="67">
        <f t="shared" si="44"/>
        <v>0.63320043321471353</v>
      </c>
      <c r="P63" s="128">
        <f>DATOS!$J$12*O63*$B$16</f>
        <v>287299.65362848435</v>
      </c>
      <c r="Q63" s="67">
        <f t="shared" si="45"/>
        <v>1.063235528108188</v>
      </c>
      <c r="R63" s="67"/>
      <c r="S63" s="67">
        <f t="shared" si="46"/>
        <v>1.1600765793772874</v>
      </c>
      <c r="T63" s="67"/>
      <c r="U63" s="67">
        <f t="shared" si="47"/>
        <v>0.58443168281484237</v>
      </c>
      <c r="V63" s="128">
        <f>DATOS!$J$12*U63*$B$16</f>
        <v>265171.99173374608</v>
      </c>
      <c r="W63" s="49">
        <f t="shared" si="48"/>
        <v>1.0293989846412437</v>
      </c>
      <c r="X63" s="67"/>
      <c r="Y63" s="52">
        <f t="shared" si="49"/>
        <v>0.97303141926537429</v>
      </c>
      <c r="Z63" s="67"/>
      <c r="AA63" s="67">
        <f t="shared" si="50"/>
        <v>0.53174624563450668</v>
      </c>
      <c r="AB63" s="128">
        <f>DATOS!$J$12*AA63*$B$16</f>
        <v>241267.22626109983</v>
      </c>
      <c r="AC63" s="11">
        <f t="shared" si="51"/>
        <v>0.99556244117429926</v>
      </c>
      <c r="AD63" s="67"/>
      <c r="AE63" s="11">
        <f t="shared" si="52"/>
        <v>0.81118158612866542</v>
      </c>
      <c r="AF63" s="67"/>
      <c r="AG63" s="11">
        <f t="shared" si="53"/>
        <v>0.47251611806293548</v>
      </c>
      <c r="AH63" s="11">
        <f>DATOS!$J$12*AG63*$B$16</f>
        <v>214392.96300564011</v>
      </c>
      <c r="AI63" s="11">
        <f t="shared" si="54"/>
        <v>0.96172589770735517</v>
      </c>
      <c r="AJ63" s="67"/>
      <c r="AK63" s="11">
        <f t="shared" si="55"/>
        <v>0.67184553181252549</v>
      </c>
      <c r="AL63" s="67"/>
      <c r="AM63" s="11">
        <f t="shared" si="56"/>
        <v>0.388647614268332</v>
      </c>
      <c r="AN63" s="128">
        <f>DATOS!$J$12*AM63*$B$16</f>
        <v>176339.62187288346</v>
      </c>
      <c r="AO63" s="11">
        <f t="shared" si="57"/>
        <v>0.92788935424041075</v>
      </c>
      <c r="AP63" s="67"/>
      <c r="AQ63" s="11">
        <f t="shared" si="58"/>
        <v>0.55254615821496378</v>
      </c>
      <c r="AR63" s="67"/>
      <c r="AS63" s="11">
        <f t="shared" si="59"/>
        <v>0.31729954899463603</v>
      </c>
      <c r="AT63" s="128">
        <f>DATOS!$J$12*AS63*$B$16</f>
        <v>143967.1322709306</v>
      </c>
      <c r="AU63" s="11">
        <f t="shared" si="60"/>
        <v>0.89405281077346654</v>
      </c>
      <c r="AV63" s="67"/>
      <c r="AW63" s="11">
        <f t="shared" si="61"/>
        <v>0.45100183418934708</v>
      </c>
      <c r="AX63" s="67"/>
      <c r="AY63" s="11">
        <f t="shared" si="62"/>
        <v>0.25698136928763327</v>
      </c>
      <c r="AZ63" s="128">
        <f>DATOS!$J$12*AY63*$B$16</f>
        <v>116599.19120787342</v>
      </c>
      <c r="BA63" s="11">
        <f t="shared" si="64"/>
        <v>0.86021626730652223</v>
      </c>
      <c r="BB63" s="67"/>
      <c r="BC63" s="11">
        <f t="shared" si="65"/>
        <v>0.36511749582374825</v>
      </c>
      <c r="BD63" s="67"/>
      <c r="BE63" s="11">
        <f t="shared" si="66"/>
        <v>0.20633150551221027</v>
      </c>
      <c r="BF63" s="128">
        <f>DATOS!$J$12*BE63*$B$16</f>
        <v>93618.018808588953</v>
      </c>
      <c r="BG63" s="67">
        <f t="shared" si="63"/>
        <v>1161397.6577462528</v>
      </c>
    </row>
    <row r="64" spans="1:59">
      <c r="A64" s="41">
        <f t="shared" si="39"/>
        <v>240</v>
      </c>
      <c r="B64" s="67">
        <f t="shared" si="37"/>
        <v>0.7027706211620538</v>
      </c>
      <c r="C64" s="67">
        <f t="shared" si="4"/>
        <v>0.7149707820491622</v>
      </c>
      <c r="D64" s="67">
        <f t="shared" si="5"/>
        <v>0.72782922034229958</v>
      </c>
      <c r="E64" s="67">
        <f t="shared" si="6"/>
        <v>0.7414073456251048</v>
      </c>
      <c r="F64" s="67">
        <f t="shared" si="7"/>
        <v>0.75577489919774854</v>
      </c>
      <c r="G64" s="67">
        <f t="shared" si="8"/>
        <v>0.77101146616364824</v>
      </c>
      <c r="H64" s="67">
        <f t="shared" si="9"/>
        <v>0.78720833704186666</v>
      </c>
      <c r="I64" s="67">
        <f t="shared" si="10"/>
        <v>0.80447081858657743</v>
      </c>
      <c r="J64" s="46"/>
      <c r="K64" s="67">
        <f t="shared" si="40"/>
        <v>1.1012467419235423</v>
      </c>
      <c r="L64" s="67">
        <f t="shared" si="41"/>
        <v>317.32424868526869</v>
      </c>
      <c r="M64" s="67">
        <f t="shared" si="42"/>
        <v>1.3932924593260168</v>
      </c>
      <c r="N64" s="67">
        <f t="shared" si="43"/>
        <v>141815.74936598155</v>
      </c>
      <c r="O64" s="67">
        <f t="shared" si="44"/>
        <v>0.62884301829558831</v>
      </c>
      <c r="P64" s="128">
        <f>DATOS!$J$12*O64*$B$16</f>
        <v>285322.58012803749</v>
      </c>
      <c r="Q64" s="67">
        <f t="shared" si="45"/>
        <v>1.0674101984565978</v>
      </c>
      <c r="R64" s="67"/>
      <c r="S64" s="67">
        <f t="shared" si="46"/>
        <v>1.1758161571914021</v>
      </c>
      <c r="T64" s="67"/>
      <c r="U64" s="67">
        <f t="shared" si="47"/>
        <v>0.58129313800249027</v>
      </c>
      <c r="V64" s="128">
        <f>DATOS!$J$12*U64*$B$16</f>
        <v>263747.9515875504</v>
      </c>
      <c r="W64" s="49">
        <f t="shared" si="48"/>
        <v>1.0335736549896537</v>
      </c>
      <c r="X64" s="67"/>
      <c r="Y64" s="52">
        <f t="shared" si="49"/>
        <v>0.9866693133005574</v>
      </c>
      <c r="Z64" s="67"/>
      <c r="AA64" s="67">
        <f t="shared" si="50"/>
        <v>0.52960105972021509</v>
      </c>
      <c r="AB64" s="128">
        <f>DATOS!$J$12*AA64*$B$16</f>
        <v>240293.89911567181</v>
      </c>
      <c r="AC64" s="67">
        <f t="shared" si="51"/>
        <v>0.99973711152270928</v>
      </c>
      <c r="AD64" s="67"/>
      <c r="AE64" s="67">
        <f t="shared" si="52"/>
        <v>0.82293940282064526</v>
      </c>
      <c r="AF64" s="67"/>
      <c r="AG64" s="67">
        <f t="shared" si="53"/>
        <v>0.4757292792200401</v>
      </c>
      <c r="AH64" s="11">
        <f>DATOS!$J$12*AG64*$B$16</f>
        <v>215850.85854560675</v>
      </c>
      <c r="AI64" s="67">
        <f t="shared" si="54"/>
        <v>0.96590056805576496</v>
      </c>
      <c r="AJ64" s="67"/>
      <c r="AK64" s="67">
        <f t="shared" si="55"/>
        <v>0.68192814899309118</v>
      </c>
      <c r="AL64" s="67"/>
      <c r="AM64" s="67">
        <f t="shared" si="56"/>
        <v>0.39143832067842926</v>
      </c>
      <c r="AN64" s="128">
        <f>DATOS!$J$12*AM64*$B$16</f>
        <v>177605.8386076529</v>
      </c>
      <c r="AO64" s="67">
        <f t="shared" si="57"/>
        <v>0.93206402458882065</v>
      </c>
      <c r="AP64" s="67"/>
      <c r="AQ64" s="67">
        <f t="shared" si="58"/>
        <v>0.56114245234982219</v>
      </c>
      <c r="AR64" s="67"/>
      <c r="AS64" s="67">
        <f t="shared" si="59"/>
        <v>0.3197077882866764</v>
      </c>
      <c r="AT64" s="128">
        <f>DATOS!$J$12*AS64*$B$16</f>
        <v>145059.81363715307</v>
      </c>
      <c r="AU64" s="67">
        <f t="shared" si="60"/>
        <v>0.89822748112187656</v>
      </c>
      <c r="AV64" s="67"/>
      <c r="AW64" s="67">
        <f t="shared" si="61"/>
        <v>0.45828540094255926</v>
      </c>
      <c r="AX64" s="67"/>
      <c r="AY64" s="67">
        <f t="shared" si="62"/>
        <v>0.25904521189427387</v>
      </c>
      <c r="AZ64" s="128">
        <f>DATOS!$J$12*AY64*$B$16</f>
        <v>117535.61075992779</v>
      </c>
      <c r="BA64" s="11">
        <f t="shared" si="64"/>
        <v>0.86439093765493225</v>
      </c>
      <c r="BB64" s="67"/>
      <c r="BC64" s="67">
        <f t="shared" si="65"/>
        <v>0.37124736376420187</v>
      </c>
      <c r="BD64" s="67"/>
      <c r="BE64" s="67">
        <f t="shared" si="66"/>
        <v>0.20808702213569752</v>
      </c>
      <c r="BF64" s="128">
        <f>DATOS!$J$12*BE64*$B$16</f>
        <v>94414.542770687869</v>
      </c>
      <c r="BG64" s="67">
        <f t="shared" si="63"/>
        <v>1160694.8577322392</v>
      </c>
    </row>
    <row r="65" spans="1:59">
      <c r="A65" s="41">
        <f t="shared" si="39"/>
        <v>245</v>
      </c>
      <c r="B65" s="67">
        <f t="shared" si="37"/>
        <v>0.71741167576959664</v>
      </c>
      <c r="C65" s="67">
        <f t="shared" si="4"/>
        <v>0.72986600667518642</v>
      </c>
      <c r="D65" s="67">
        <f t="shared" si="5"/>
        <v>0.7429923290994308</v>
      </c>
      <c r="E65" s="67">
        <f t="shared" si="6"/>
        <v>0.75685333199229443</v>
      </c>
      <c r="F65" s="67">
        <f t="shared" si="7"/>
        <v>0.77152020959770162</v>
      </c>
      <c r="G65" s="67">
        <f t="shared" si="8"/>
        <v>0.78707420504205761</v>
      </c>
      <c r="H65" s="67">
        <f t="shared" si="9"/>
        <v>0.80360851073023887</v>
      </c>
      <c r="I65" s="67">
        <f t="shared" si="10"/>
        <v>0.82123062730713114</v>
      </c>
      <c r="J65" s="46"/>
      <c r="K65" s="67">
        <f t="shared" si="40"/>
        <v>1.1055093000687608</v>
      </c>
      <c r="L65" s="67">
        <f t="shared" si="41"/>
        <v>318.5525048148134</v>
      </c>
      <c r="M65" s="67">
        <f t="shared" si="42"/>
        <v>1.4119267214241895</v>
      </c>
      <c r="N65" s="67">
        <f t="shared" si="43"/>
        <v>143712.43073079191</v>
      </c>
      <c r="O65" s="67">
        <f t="shared" si="44"/>
        <v>0.62438599171975118</v>
      </c>
      <c r="P65" s="128">
        <f>DATOS!$J$12*O65*$B$16</f>
        <v>283300.31020483177</v>
      </c>
      <c r="Q65" s="67">
        <f t="shared" si="45"/>
        <v>1.0716727566018165</v>
      </c>
      <c r="R65" s="67"/>
      <c r="S65" s="67">
        <f t="shared" si="46"/>
        <v>1.1920427576716373</v>
      </c>
      <c r="T65" s="67"/>
      <c r="U65" s="67">
        <f t="shared" si="47"/>
        <v>0.57808792782319007</v>
      </c>
      <c r="V65" s="128">
        <f>DATOS!$J$12*U65*$B$16</f>
        <v>262293.66361487116</v>
      </c>
      <c r="W65" s="49">
        <f t="shared" si="48"/>
        <v>1.0378362131348722</v>
      </c>
      <c r="X65" s="67"/>
      <c r="Y65" s="52">
        <f t="shared" si="49"/>
        <v>1.0007336360564472</v>
      </c>
      <c r="Z65" s="67"/>
      <c r="AA65" s="67">
        <f t="shared" si="50"/>
        <v>0.5274154363432817</v>
      </c>
      <c r="AB65" s="128">
        <f>DATOS!$J$12*AA65*$B$16</f>
        <v>239302.2244322428</v>
      </c>
      <c r="AC65" s="11">
        <f t="shared" si="51"/>
        <v>1.0039996696679279</v>
      </c>
      <c r="AD65" s="67"/>
      <c r="AE65" s="11">
        <f t="shared" si="52"/>
        <v>0.83506894817285293</v>
      </c>
      <c r="AF65" s="67"/>
      <c r="AG65" s="11">
        <f t="shared" si="53"/>
        <v>0.47465022040171678</v>
      </c>
      <c r="AH65" s="11">
        <f>DATOS!$J$12*AG65*$B$16</f>
        <v>215361.26124199288</v>
      </c>
      <c r="AI65" s="11">
        <f t="shared" si="54"/>
        <v>0.97016312620098355</v>
      </c>
      <c r="AJ65" s="67"/>
      <c r="AK65" s="11">
        <f t="shared" si="55"/>
        <v>0.69233328334660682</v>
      </c>
      <c r="AL65" s="67"/>
      <c r="AM65" s="11">
        <f t="shared" si="56"/>
        <v>0.39435477359731375</v>
      </c>
      <c r="AN65" s="128">
        <f>DATOS!$J$12*AM65*$B$16</f>
        <v>178929.10983342474</v>
      </c>
      <c r="AO65" s="11">
        <f t="shared" si="57"/>
        <v>0.93632658273403924</v>
      </c>
      <c r="AP65" s="67"/>
      <c r="AQ65" s="11">
        <f t="shared" si="58"/>
        <v>0.57001715122678798</v>
      </c>
      <c r="AR65" s="67"/>
      <c r="AS65" s="11">
        <f t="shared" si="59"/>
        <v>0.32222254827297253</v>
      </c>
      <c r="AT65" s="128">
        <f>DATOS!$J$12*AS65*$B$16</f>
        <v>146200.82623778196</v>
      </c>
      <c r="AU65" s="11">
        <f t="shared" si="60"/>
        <v>0.90249003926709503</v>
      </c>
      <c r="AV65" s="67"/>
      <c r="AW65" s="11">
        <f t="shared" si="61"/>
        <v>0.46580798521449851</v>
      </c>
      <c r="AX65" s="67"/>
      <c r="AY65" s="11">
        <f t="shared" si="62"/>
        <v>0.26119873069191607</v>
      </c>
      <c r="AZ65" s="128">
        <f>DATOS!$J$12*AY65*$B$16</f>
        <v>118512.71875321187</v>
      </c>
      <c r="BA65" s="11">
        <f t="shared" si="64"/>
        <v>0.86865349580015072</v>
      </c>
      <c r="BB65" s="67"/>
      <c r="BC65" s="11">
        <f t="shared" si="65"/>
        <v>0.37758122889610773</v>
      </c>
      <c r="BD65" s="67"/>
      <c r="BE65" s="11">
        <f t="shared" si="66"/>
        <v>0.20991752944244421</v>
      </c>
      <c r="BF65" s="128">
        <f>DATOS!$J$12*BE65*$B$16</f>
        <v>95245.091973762086</v>
      </c>
      <c r="BG65" s="67">
        <f t="shared" si="63"/>
        <v>1159962.0360980707</v>
      </c>
    </row>
    <row r="66" spans="1:59">
      <c r="A66" s="41">
        <f t="shared" si="39"/>
        <v>250</v>
      </c>
      <c r="B66" s="67">
        <f t="shared" si="37"/>
        <v>0.73205273037713947</v>
      </c>
      <c r="C66" s="67">
        <f t="shared" si="4"/>
        <v>0.74476123130121064</v>
      </c>
      <c r="D66" s="67">
        <f t="shared" si="5"/>
        <v>0.75815543785656203</v>
      </c>
      <c r="E66" s="67">
        <f t="shared" si="6"/>
        <v>0.77229931835948418</v>
      </c>
      <c r="F66" s="67">
        <f t="shared" si="7"/>
        <v>0.78726551999765471</v>
      </c>
      <c r="G66" s="67">
        <f t="shared" si="8"/>
        <v>0.80313694392046697</v>
      </c>
      <c r="H66" s="67">
        <f t="shared" si="9"/>
        <v>0.82000868441861108</v>
      </c>
      <c r="I66" s="67">
        <f t="shared" si="10"/>
        <v>0.83799043602768486</v>
      </c>
      <c r="J66" s="46"/>
      <c r="K66" s="67">
        <f t="shared" si="40"/>
        <v>1.109859746010788</v>
      </c>
      <c r="L66" s="67">
        <f t="shared" si="41"/>
        <v>319.80608581300851</v>
      </c>
      <c r="M66" s="67">
        <f t="shared" si="42"/>
        <v>1.4311267525719973</v>
      </c>
      <c r="N66" s="67">
        <f t="shared" si="43"/>
        <v>145666.69868570045</v>
      </c>
      <c r="O66" s="67">
        <f t="shared" si="44"/>
        <v>0.61981834469176766</v>
      </c>
      <c r="P66" s="128">
        <f>DATOS!$J$12*O66*$B$16</f>
        <v>281227.84887947468</v>
      </c>
      <c r="Q66" s="67">
        <f t="shared" si="45"/>
        <v>1.0760232025438439</v>
      </c>
      <c r="R66" s="67"/>
      <c r="S66" s="67">
        <f t="shared" si="46"/>
        <v>1.2087670425489707</v>
      </c>
      <c r="T66" s="67"/>
      <c r="U66" s="67">
        <f t="shared" si="47"/>
        <v>0.57480665256809704</v>
      </c>
      <c r="V66" s="128">
        <f>DATOS!$J$12*U66*$B$16</f>
        <v>260804.86292112892</v>
      </c>
      <c r="W66" s="49">
        <f t="shared" si="48"/>
        <v>1.0421866590768993</v>
      </c>
      <c r="X66" s="67"/>
      <c r="Y66" s="52">
        <f t="shared" si="49"/>
        <v>1.0152339569073168</v>
      </c>
      <c r="Z66" s="67"/>
      <c r="AA66" s="67">
        <f t="shared" si="50"/>
        <v>0.52518140958744308</v>
      </c>
      <c r="AB66" s="128">
        <f>DATOS!$J$12*AA66*$B$16</f>
        <v>238288.58786555473</v>
      </c>
      <c r="AC66" s="11">
        <f t="shared" si="51"/>
        <v>1.008350115609955</v>
      </c>
      <c r="AD66" s="67"/>
      <c r="AE66" s="11">
        <f t="shared" si="52"/>
        <v>0.84757877905960666</v>
      </c>
      <c r="AF66" s="67"/>
      <c r="AG66" s="11">
        <f t="shared" si="53"/>
        <v>0.47325494953950648</v>
      </c>
      <c r="AH66" s="11">
        <f>DATOS!$J$12*AG66*$B$16</f>
        <v>214728.19023571484</v>
      </c>
      <c r="AI66" s="11">
        <f t="shared" si="54"/>
        <v>0.97451357214301071</v>
      </c>
      <c r="AJ66" s="67"/>
      <c r="AK66" s="11">
        <f t="shared" si="55"/>
        <v>0.70306855575526639</v>
      </c>
      <c r="AL66" s="67"/>
      <c r="AM66" s="11">
        <f t="shared" si="56"/>
        <v>0.39739746240905327</v>
      </c>
      <c r="AN66" s="128">
        <f>DATOS!$J$12*AM66*$B$16</f>
        <v>180309.65759659346</v>
      </c>
      <c r="AO66" s="11">
        <f t="shared" si="57"/>
        <v>0.94067702867606651</v>
      </c>
      <c r="AP66" s="67"/>
      <c r="AQ66" s="11">
        <f t="shared" si="58"/>
        <v>0.57917701292435653</v>
      </c>
      <c r="AR66" s="67"/>
      <c r="AS66" s="11">
        <f t="shared" si="59"/>
        <v>0.32484431477278947</v>
      </c>
      <c r="AT66" s="128">
        <f>DATOS!$J$12*AS66*$B$16</f>
        <v>147390.39050176713</v>
      </c>
      <c r="AU66" s="11">
        <f t="shared" si="60"/>
        <v>0.9068404852091223</v>
      </c>
      <c r="AV66" s="67"/>
      <c r="AW66" s="11">
        <f t="shared" si="61"/>
        <v>0.47357555217926994</v>
      </c>
      <c r="AX66" s="67"/>
      <c r="AY66" s="11">
        <f t="shared" si="62"/>
        <v>0.26344239762131266</v>
      </c>
      <c r="AZ66" s="128">
        <f>DATOS!$J$12*AY66*$B$16</f>
        <v>119530.72931963032</v>
      </c>
      <c r="BA66" s="11">
        <f t="shared" si="64"/>
        <v>0.87300394174217799</v>
      </c>
      <c r="BB66" s="67"/>
      <c r="BC66" s="11">
        <f t="shared" si="65"/>
        <v>0.38412433013049779</v>
      </c>
      <c r="BD66" s="67"/>
      <c r="BE66" s="11">
        <f t="shared" si="66"/>
        <v>0.21182347733924906</v>
      </c>
      <c r="BF66" s="128">
        <f>DATOS!$J$12*BE66*$B$16</f>
        <v>96109.870552333101</v>
      </c>
      <c r="BG66" s="67">
        <f t="shared" si="63"/>
        <v>1159199.0127289598</v>
      </c>
    </row>
    <row r="67" spans="1:59">
      <c r="A67" s="41">
        <f t="shared" si="39"/>
        <v>255</v>
      </c>
      <c r="B67" s="67">
        <f t="shared" si="37"/>
        <v>0.7466937849846822</v>
      </c>
      <c r="C67" s="67">
        <f t="shared" si="4"/>
        <v>0.75965645592723485</v>
      </c>
      <c r="D67" s="67">
        <f t="shared" si="5"/>
        <v>0.77331854661369326</v>
      </c>
      <c r="E67" s="67">
        <f t="shared" si="6"/>
        <v>0.78774530472667381</v>
      </c>
      <c r="F67" s="67">
        <f t="shared" si="7"/>
        <v>0.8030108303976079</v>
      </c>
      <c r="G67" s="67">
        <f t="shared" si="8"/>
        <v>0.81919968279887634</v>
      </c>
      <c r="H67" s="67">
        <f t="shared" si="9"/>
        <v>0.83640885810698329</v>
      </c>
      <c r="I67" s="67">
        <f t="shared" si="10"/>
        <v>0.85475024474823846</v>
      </c>
      <c r="J67" s="46"/>
      <c r="K67" s="67">
        <f t="shared" si="40"/>
        <v>1.1142980797496238</v>
      </c>
      <c r="L67" s="67">
        <f t="shared" si="41"/>
        <v>321.08499167985406</v>
      </c>
      <c r="M67" s="67">
        <f t="shared" si="42"/>
        <v>1.4509047397530341</v>
      </c>
      <c r="N67" s="67">
        <f t="shared" si="43"/>
        <v>147679.79367825235</v>
      </c>
      <c r="O67" s="67">
        <f t="shared" si="44"/>
        <v>0.61512878350568911</v>
      </c>
      <c r="P67" s="128">
        <f>DATOS!$J$12*O67*$B$16</f>
        <v>279100.07190119667</v>
      </c>
      <c r="Q67" s="67">
        <f t="shared" si="45"/>
        <v>1.0804615362826795</v>
      </c>
      <c r="R67" s="67"/>
      <c r="S67" s="67">
        <f t="shared" si="46"/>
        <v>1.225999991297188</v>
      </c>
      <c r="T67" s="67"/>
      <c r="U67" s="67">
        <f t="shared" si="47"/>
        <v>0.57143966836782678</v>
      </c>
      <c r="V67" s="128">
        <f>DATOS!$J$12*U67*$B$16</f>
        <v>259277.17382969995</v>
      </c>
      <c r="W67" s="49">
        <f t="shared" si="48"/>
        <v>1.0466249928157352</v>
      </c>
      <c r="X67" s="67"/>
      <c r="Y67" s="52">
        <f t="shared" si="49"/>
        <v>1.0301801330885174</v>
      </c>
      <c r="Z67" s="67"/>
      <c r="AA67" s="67">
        <f t="shared" si="50"/>
        <v>0.52289080534539556</v>
      </c>
      <c r="AB67" s="128">
        <f>DATOS!$J$12*AA67*$B$16</f>
        <v>237249.2806086106</v>
      </c>
      <c r="AC67" s="11">
        <f t="shared" si="51"/>
        <v>1.0127884493487909</v>
      </c>
      <c r="AD67" s="67"/>
      <c r="AE67" s="11">
        <f t="shared" si="52"/>
        <v>0.86047771229903935</v>
      </c>
      <c r="AF67" s="67"/>
      <c r="AG67" s="11">
        <f t="shared" si="53"/>
        <v>0.47182615536280004</v>
      </c>
      <c r="AH67" s="11">
        <f>DATOS!$J$12*AG67*$B$16</f>
        <v>214079.90882189752</v>
      </c>
      <c r="AI67" s="11">
        <f t="shared" si="54"/>
        <v>0.97895190588184677</v>
      </c>
      <c r="AJ67" s="67"/>
      <c r="AK67" s="11">
        <f t="shared" si="55"/>
        <v>0.71414182102034385</v>
      </c>
      <c r="AL67" s="67"/>
      <c r="AM67" s="11">
        <f t="shared" si="56"/>
        <v>0.40056695308125467</v>
      </c>
      <c r="AN67" s="128">
        <f>DATOS!$J$12*AM67*$B$16</f>
        <v>181747.73869151494</v>
      </c>
      <c r="AO67" s="11">
        <f t="shared" si="57"/>
        <v>0.94511536241490246</v>
      </c>
      <c r="AP67" s="67"/>
      <c r="AQ67" s="11">
        <f t="shared" si="58"/>
        <v>0.58862900523648121</v>
      </c>
      <c r="AR67" s="67"/>
      <c r="AS67" s="11">
        <f t="shared" si="59"/>
        <v>0.3275736381896292</v>
      </c>
      <c r="AT67" s="128">
        <f>DATOS!$J$12*AS67*$B$16</f>
        <v>148628.75616162177</v>
      </c>
      <c r="AU67" s="11">
        <f t="shared" si="60"/>
        <v>0.91127881894795804</v>
      </c>
      <c r="AV67" s="67"/>
      <c r="AW67" s="11">
        <f t="shared" si="61"/>
        <v>0.48159425427306546</v>
      </c>
      <c r="AX67" s="67"/>
      <c r="AY67" s="11">
        <f t="shared" si="62"/>
        <v>0.26577673872473762</v>
      </c>
      <c r="AZ67" s="128">
        <f>DATOS!$J$12*AY67*$B$16</f>
        <v>120589.88113836778</v>
      </c>
      <c r="BA67" s="11">
        <f t="shared" si="64"/>
        <v>0.87744227548101383</v>
      </c>
      <c r="BB67" s="67"/>
      <c r="BC67" s="11">
        <f t="shared" si="65"/>
        <v>0.39088207286705173</v>
      </c>
      <c r="BD67" s="67"/>
      <c r="BE67" s="11">
        <f t="shared" si="66"/>
        <v>0.21380536072163972</v>
      </c>
      <c r="BF67" s="128">
        <f>DATOS!$J$12*BE67*$B$16</f>
        <v>97009.103053489351</v>
      </c>
      <c r="BG67" s="67">
        <f t="shared" si="63"/>
        <v>1158405.5894994203</v>
      </c>
    </row>
    <row r="68" spans="1:59">
      <c r="A68" s="41">
        <f t="shared" si="39"/>
        <v>260</v>
      </c>
      <c r="B68" s="67">
        <f t="shared" si="37"/>
        <v>0.76133483959222503</v>
      </c>
      <c r="C68" s="67">
        <f t="shared" si="4"/>
        <v>0.77455168055325907</v>
      </c>
      <c r="D68" s="67">
        <f t="shared" si="5"/>
        <v>0.7884816553708246</v>
      </c>
      <c r="E68" s="67">
        <f t="shared" si="6"/>
        <v>0.80319129109386356</v>
      </c>
      <c r="F68" s="67">
        <f t="shared" si="7"/>
        <v>0.81875614079756098</v>
      </c>
      <c r="G68" s="67">
        <f t="shared" si="8"/>
        <v>0.83526242167728559</v>
      </c>
      <c r="H68" s="67">
        <f t="shared" si="9"/>
        <v>0.8528090317953555</v>
      </c>
      <c r="I68" s="67">
        <f t="shared" si="10"/>
        <v>0.87151005346879218</v>
      </c>
      <c r="J68" s="46"/>
      <c r="K68" s="67">
        <f t="shared" si="40"/>
        <v>1.1188243012852683</v>
      </c>
      <c r="L68" s="67">
        <f t="shared" si="41"/>
        <v>322.38922241535005</v>
      </c>
      <c r="M68" s="67">
        <f t="shared" si="42"/>
        <v>1.4712732263343453</v>
      </c>
      <c r="N68" s="67">
        <f t="shared" si="43"/>
        <v>149752.99243034844</v>
      </c>
      <c r="O68" s="67">
        <f t="shared" si="44"/>
        <v>0.61030571202837491</v>
      </c>
      <c r="P68" s="128">
        <f>DATOS!$J$12*O68*$B$16</f>
        <v>276911.71780007443</v>
      </c>
      <c r="Q68" s="67">
        <f t="shared" si="45"/>
        <v>1.084987757818324</v>
      </c>
      <c r="R68" s="67"/>
      <c r="S68" s="67">
        <f t="shared" si="46"/>
        <v>1.2437529073732565</v>
      </c>
      <c r="T68" s="67"/>
      <c r="U68" s="67">
        <f t="shared" si="47"/>
        <v>0.56797707155558352</v>
      </c>
      <c r="V68" s="128">
        <f>DATOS!$J$12*U68*$B$16</f>
        <v>257706.10278705705</v>
      </c>
      <c r="W68" s="49">
        <f t="shared" si="48"/>
        <v>1.0511512143513797</v>
      </c>
      <c r="X68" s="67"/>
      <c r="Y68" s="52">
        <f t="shared" si="49"/>
        <v>1.045582315474985</v>
      </c>
      <c r="Z68" s="67"/>
      <c r="AA68" s="67">
        <f t="shared" si="50"/>
        <v>0.52053522741647595</v>
      </c>
      <c r="AB68" s="128">
        <f>DATOS!$J$12*AA68*$B$16</f>
        <v>236180.49308482822</v>
      </c>
      <c r="AC68" s="11">
        <f t="shared" si="51"/>
        <v>1.0173146708844354</v>
      </c>
      <c r="AD68" s="67"/>
      <c r="AE68" s="11">
        <f t="shared" si="52"/>
        <v>0.87377482998931977</v>
      </c>
      <c r="AF68" s="67"/>
      <c r="AG68" s="11">
        <f t="shared" si="53"/>
        <v>0.47035677685596944</v>
      </c>
      <c r="AH68" s="11">
        <f>DATOS!$J$12*AG68*$B$16</f>
        <v>213413.21323244835</v>
      </c>
      <c r="AI68" s="11">
        <f t="shared" si="54"/>
        <v>0.98347812741749119</v>
      </c>
      <c r="AJ68" s="67"/>
      <c r="AK68" s="11">
        <f t="shared" si="55"/>
        <v>0.72556117277552989</v>
      </c>
      <c r="AL68" s="67"/>
      <c r="AM68" s="11">
        <f t="shared" si="56"/>
        <v>0.40386388507666149</v>
      </c>
      <c r="AN68" s="128">
        <f>DATOS!$J$12*AM68*$B$16</f>
        <v>183243.64325921735</v>
      </c>
      <c r="AO68" s="11">
        <f t="shared" si="57"/>
        <v>0.94964158395054676</v>
      </c>
      <c r="AP68" s="67"/>
      <c r="AQ68" s="11">
        <f t="shared" si="58"/>
        <v>0.5983803101822639</v>
      </c>
      <c r="AR68" s="67"/>
      <c r="AS68" s="11">
        <f t="shared" si="59"/>
        <v>0.3304111309292852</v>
      </c>
      <c r="AT68" s="128">
        <f>DATOS!$J$12*AS68*$B$16</f>
        <v>149916.20108192565</v>
      </c>
      <c r="AU68" s="11">
        <f t="shared" si="60"/>
        <v>0.91580504048360267</v>
      </c>
      <c r="AV68" s="67"/>
      <c r="AW68" s="11">
        <f t="shared" si="61"/>
        <v>0.48987043531924929</v>
      </c>
      <c r="AX68" s="67"/>
      <c r="AY68" s="11">
        <f t="shared" si="62"/>
        <v>0.2682023319989954</v>
      </c>
      <c r="AZ68" s="128">
        <f>DATOS!$J$12*AY68*$B$16</f>
        <v>121690.43646174285</v>
      </c>
      <c r="BA68" s="11">
        <f t="shared" si="64"/>
        <v>0.88196849701665825</v>
      </c>
      <c r="BB68" s="67"/>
      <c r="BC68" s="11">
        <f t="shared" si="65"/>
        <v>0.3978600327534324</v>
      </c>
      <c r="BD68" s="67"/>
      <c r="BE68" s="11">
        <f t="shared" si="66"/>
        <v>0.21586371769829438</v>
      </c>
      <c r="BF68" s="128">
        <f>DATOS!$J$12*BE68*$B$16</f>
        <v>97943.033631259706</v>
      </c>
      <c r="BG68" s="67">
        <f t="shared" si="63"/>
        <v>1157581.5509841002</v>
      </c>
    </row>
    <row r="69" spans="1:59">
      <c r="A69" s="41">
        <f t="shared" si="39"/>
        <v>265</v>
      </c>
      <c r="B69" s="67">
        <f t="shared" si="37"/>
        <v>0.77597589419976776</v>
      </c>
      <c r="C69" s="67">
        <f t="shared" si="4"/>
        <v>0.78944690517928329</v>
      </c>
      <c r="D69" s="67">
        <f t="shared" si="5"/>
        <v>0.80364476412795582</v>
      </c>
      <c r="E69" s="67">
        <f t="shared" si="6"/>
        <v>0.81863727746105319</v>
      </c>
      <c r="F69" s="67">
        <f t="shared" si="7"/>
        <v>0.83450145119751407</v>
      </c>
      <c r="G69" s="67">
        <f t="shared" si="8"/>
        <v>0.85132516055569496</v>
      </c>
      <c r="H69" s="67">
        <f t="shared" si="9"/>
        <v>0.86920920548372771</v>
      </c>
      <c r="I69" s="67">
        <f t="shared" si="10"/>
        <v>0.88826986218934589</v>
      </c>
      <c r="J69" s="46"/>
      <c r="K69" s="67">
        <f t="shared" si="40"/>
        <v>1.1234384106177215</v>
      </c>
      <c r="L69" s="67">
        <f t="shared" si="41"/>
        <v>323.71877801949643</v>
      </c>
      <c r="M69" s="67">
        <f t="shared" si="42"/>
        <v>1.4922451189494208</v>
      </c>
      <c r="N69" s="67">
        <f t="shared" si="43"/>
        <v>151887.60863882813</v>
      </c>
      <c r="O69" s="67">
        <f t="shared" si="44"/>
        <v>0.60533721418223796</v>
      </c>
      <c r="P69" s="128">
        <f>DATOS!$J$12*O69*$B$16</f>
        <v>274657.37993899314</v>
      </c>
      <c r="Q69" s="67">
        <f t="shared" si="45"/>
        <v>1.0896018671507772</v>
      </c>
      <c r="R69" s="67"/>
      <c r="S69" s="67">
        <f t="shared" si="46"/>
        <v>1.2620374246078294</v>
      </c>
      <c r="T69" s="67"/>
      <c r="U69" s="67">
        <f t="shared" si="47"/>
        <v>0.56440868301292102</v>
      </c>
      <c r="V69" s="128">
        <f>DATOS!$J$12*U69*$B$16</f>
        <v>256087.03126003058</v>
      </c>
      <c r="W69" s="49">
        <f t="shared" si="48"/>
        <v>1.0557653236838329</v>
      </c>
      <c r="X69" s="67"/>
      <c r="Y69" s="52">
        <f t="shared" si="49"/>
        <v>1.0614509544994193</v>
      </c>
      <c r="Z69" s="67"/>
      <c r="AA69" s="67">
        <f t="shared" si="50"/>
        <v>0.51810604357376688</v>
      </c>
      <c r="AB69" s="128">
        <f>DATOS!$J$12*AA69*$B$16</f>
        <v>235078.30862631954</v>
      </c>
      <c r="AC69" s="11">
        <f t="shared" si="51"/>
        <v>1.0219287802168886</v>
      </c>
      <c r="AD69" s="67"/>
      <c r="AE69" s="11">
        <f t="shared" si="52"/>
        <v>0.88747948497448947</v>
      </c>
      <c r="AF69" s="67"/>
      <c r="AG69" s="11">
        <f t="shared" si="53"/>
        <v>0.46883955178056219</v>
      </c>
      <c r="AH69" s="11">
        <f>DATOS!$J$12*AG69*$B$16</f>
        <v>212724.80839919843</v>
      </c>
      <c r="AI69" s="11">
        <f t="shared" si="54"/>
        <v>0.98809223674994417</v>
      </c>
      <c r="AJ69" s="67"/>
      <c r="AK69" s="11">
        <f t="shared" si="55"/>
        <v>0.73733494852024306</v>
      </c>
      <c r="AL69" s="67"/>
      <c r="AM69" s="11">
        <f t="shared" si="56"/>
        <v>0.40728896847215595</v>
      </c>
      <c r="AN69" s="128">
        <f>DATOS!$J$12*AM69*$B$16</f>
        <v>184797.69348021675</v>
      </c>
      <c r="AO69" s="11">
        <f t="shared" si="57"/>
        <v>0.95425569328299986</v>
      </c>
      <c r="AP69" s="67"/>
      <c r="AQ69" s="11">
        <f t="shared" si="58"/>
        <v>0.60843832862636127</v>
      </c>
      <c r="AR69" s="67"/>
      <c r="AS69" s="11">
        <f t="shared" si="59"/>
        <v>0.33335746498658059</v>
      </c>
      <c r="AT69" s="128">
        <f>DATOS!$J$12*AS69*$B$16</f>
        <v>151253.03016436525</v>
      </c>
      <c r="AU69" s="11">
        <f t="shared" si="60"/>
        <v>0.92041914981605566</v>
      </c>
      <c r="AV69" s="67"/>
      <c r="AW69" s="11">
        <f t="shared" si="61"/>
        <v>0.49841063475530339</v>
      </c>
      <c r="AX69" s="67"/>
      <c r="AY69" s="11">
        <f t="shared" si="62"/>
        <v>0.27071980538412732</v>
      </c>
      <c r="AZ69" s="128">
        <f>DATOS!$J$12*AY69*$B$16</f>
        <v>122832.68020263124</v>
      </c>
      <c r="BA69" s="11">
        <f t="shared" si="64"/>
        <v>0.88658260634911146</v>
      </c>
      <c r="BB69" s="67"/>
      <c r="BC69" s="11">
        <f t="shared" si="65"/>
        <v>0.40506395953802843</v>
      </c>
      <c r="BD69" s="67"/>
      <c r="BE69" s="11">
        <f t="shared" si="66"/>
        <v>0.21799912792325815</v>
      </c>
      <c r="BF69" s="128">
        <f>DATOS!$J$12*BE69*$B$16</f>
        <v>98911.925289896302</v>
      </c>
      <c r="BG69" s="67">
        <f t="shared" si="63"/>
        <v>1156726.6651254587</v>
      </c>
    </row>
    <row r="70" spans="1:59">
      <c r="A70" s="41">
        <f t="shared" si="39"/>
        <v>270</v>
      </c>
      <c r="B70" s="67">
        <f t="shared" si="37"/>
        <v>0.79061694880731059</v>
      </c>
      <c r="C70" s="67">
        <f t="shared" si="4"/>
        <v>0.8043421298053075</v>
      </c>
      <c r="D70" s="67">
        <f t="shared" si="5"/>
        <v>0.81880787288508705</v>
      </c>
      <c r="E70" s="67">
        <f t="shared" si="6"/>
        <v>0.83408326382824283</v>
      </c>
      <c r="F70" s="67">
        <f t="shared" si="7"/>
        <v>0.85024676159746715</v>
      </c>
      <c r="G70" s="67">
        <f t="shared" si="8"/>
        <v>0.86738789943410433</v>
      </c>
      <c r="H70" s="67">
        <f t="shared" si="9"/>
        <v>0.88560937917210003</v>
      </c>
      <c r="I70" s="67">
        <f t="shared" si="10"/>
        <v>0.90502967090989961</v>
      </c>
      <c r="J70" s="46"/>
      <c r="K70" s="67">
        <f t="shared" si="40"/>
        <v>1.1281404077469832</v>
      </c>
      <c r="L70" s="67">
        <f t="shared" si="41"/>
        <v>325.07365849229319</v>
      </c>
      <c r="M70" s="67">
        <f t="shared" si="42"/>
        <v>1.5138336945436075</v>
      </c>
      <c r="N70" s="67">
        <f t="shared" si="43"/>
        <v>154084.99369258396</v>
      </c>
      <c r="O70" s="67">
        <f t="shared" si="44"/>
        <v>0.60021103637792472</v>
      </c>
      <c r="P70" s="128">
        <f>DATOS!$J$12*O70*$B$16</f>
        <v>272331.49854289211</v>
      </c>
      <c r="Q70" s="67">
        <f t="shared" si="45"/>
        <v>1.0943038642800389</v>
      </c>
      <c r="R70" s="67"/>
      <c r="S70" s="67">
        <f t="shared" si="46"/>
        <v>1.2808655137472356</v>
      </c>
      <c r="T70" s="67"/>
      <c r="U70" s="67">
        <f t="shared" si="47"/>
        <v>0.56072403245526792</v>
      </c>
      <c r="V70" s="128">
        <f>DATOS!$J$12*U70*$B$16</f>
        <v>254415.20860573874</v>
      </c>
      <c r="W70" s="49">
        <f t="shared" si="48"/>
        <v>1.0604673208130948</v>
      </c>
      <c r="X70" s="67"/>
      <c r="Y70" s="52">
        <f t="shared" si="49"/>
        <v>1.0777968062114121</v>
      </c>
      <c r="Z70" s="67"/>
      <c r="AA70" s="67">
        <f t="shared" si="50"/>
        <v>0.51559437156360821</v>
      </c>
      <c r="AB70" s="128">
        <f>DATOS!$J$12*AA70*$B$16</f>
        <v>233938.69712150196</v>
      </c>
      <c r="AC70" s="11">
        <f t="shared" si="51"/>
        <v>1.0266307773461503</v>
      </c>
      <c r="AD70" s="67"/>
      <c r="AE70" s="11">
        <f t="shared" si="52"/>
        <v>0.9016013064411289</v>
      </c>
      <c r="AF70" s="67"/>
      <c r="AG70" s="11">
        <f t="shared" si="53"/>
        <v>0.46726700425563861</v>
      </c>
      <c r="AH70" s="11">
        <f>DATOS!$J$12*AG70*$B$16</f>
        <v>212011.30231877591</v>
      </c>
      <c r="AI70" s="11">
        <f t="shared" si="54"/>
        <v>0.99279423387920596</v>
      </c>
      <c r="AJ70" s="67"/>
      <c r="AK70" s="11">
        <f t="shared" si="55"/>
        <v>0.74947173477404727</v>
      </c>
      <c r="AL70" s="67"/>
      <c r="AM70" s="11">
        <f t="shared" si="56"/>
        <v>0.41084298126244451</v>
      </c>
      <c r="AN70" s="128">
        <f>DATOS!$J$12*AM70*$B$16</f>
        <v>186410.24235112834</v>
      </c>
      <c r="AO70" s="11">
        <f t="shared" si="57"/>
        <v>0.95895769041226164</v>
      </c>
      <c r="AP70" s="67"/>
      <c r="AQ70" s="11">
        <f t="shared" si="58"/>
        <v>0.61881068501118841</v>
      </c>
      <c r="AR70" s="67"/>
      <c r="AS70" s="11">
        <f t="shared" si="59"/>
        <v>0.33641336968198371</v>
      </c>
      <c r="AT70" s="128">
        <f>DATOS!$J$12*AS70*$B$16</f>
        <v>152639.57432077656</v>
      </c>
      <c r="AU70" s="11">
        <f t="shared" si="60"/>
        <v>0.92512114694531733</v>
      </c>
      <c r="AV70" s="67"/>
      <c r="AW70" s="11">
        <f t="shared" si="61"/>
        <v>0.50722159196266436</v>
      </c>
      <c r="AX70" s="67"/>
      <c r="AY70" s="11">
        <f t="shared" si="62"/>
        <v>0.27332983487235069</v>
      </c>
      <c r="AZ70" s="128">
        <f>DATOS!$J$12*AY70*$B$16</f>
        <v>124016.91907644203</v>
      </c>
      <c r="BA70" s="11">
        <f t="shared" si="64"/>
        <v>0.89128460347837324</v>
      </c>
      <c r="BB70" s="67"/>
      <c r="BC70" s="11">
        <f t="shared" si="65"/>
        <v>0.41249978101706442</v>
      </c>
      <c r="BD70" s="67"/>
      <c r="BE70" s="11">
        <f t="shared" si="66"/>
        <v>0.22021221102332184</v>
      </c>
      <c r="BF70" s="128">
        <f>DATOS!$J$12*BE70*$B$16</f>
        <v>99916.059170334993</v>
      </c>
      <c r="BG70" s="67">
        <f t="shared" si="63"/>
        <v>1155840.6838633453</v>
      </c>
    </row>
    <row r="71" spans="1:59">
      <c r="A71" s="41">
        <f t="shared" si="39"/>
        <v>275</v>
      </c>
      <c r="B71" s="67">
        <f t="shared" si="37"/>
        <v>0.80525800341485332</v>
      </c>
      <c r="C71" s="67">
        <f t="shared" si="4"/>
        <v>0.81923735443133172</v>
      </c>
      <c r="D71" s="67">
        <f t="shared" si="5"/>
        <v>0.83397098164221828</v>
      </c>
      <c r="E71" s="67">
        <f t="shared" si="6"/>
        <v>0.84952925019543257</v>
      </c>
      <c r="F71" s="67">
        <f t="shared" si="7"/>
        <v>0.86599207199742023</v>
      </c>
      <c r="G71" s="67">
        <f t="shared" si="8"/>
        <v>0.88345063831251369</v>
      </c>
      <c r="H71" s="67">
        <f t="shared" si="9"/>
        <v>0.90200955286047224</v>
      </c>
      <c r="I71" s="67">
        <f t="shared" si="10"/>
        <v>0.92178947963045332</v>
      </c>
      <c r="J71" s="46"/>
      <c r="K71" s="67">
        <f t="shared" si="40"/>
        <v>1.1329302926730536</v>
      </c>
      <c r="L71" s="67">
        <f t="shared" si="41"/>
        <v>326.45386383374034</v>
      </c>
      <c r="M71" s="67">
        <f t="shared" si="42"/>
        <v>1.5360526075833725</v>
      </c>
      <c r="N71" s="67">
        <f t="shared" si="43"/>
        <v>156346.53740635392</v>
      </c>
      <c r="O71" s="67">
        <f t="shared" si="44"/>
        <v>0.59491456985220126</v>
      </c>
      <c r="P71" s="128">
        <f>DATOS!$J$12*O71*$B$16</f>
        <v>269928.35268500034</v>
      </c>
      <c r="Q71" s="67">
        <f t="shared" si="45"/>
        <v>1.0990937492061092</v>
      </c>
      <c r="R71" s="67"/>
      <c r="S71" s="67">
        <f t="shared" si="46"/>
        <v>1.3002494891482987</v>
      </c>
      <c r="T71" s="67"/>
      <c r="U71" s="67">
        <f t="shared" si="47"/>
        <v>0.55691234261836664</v>
      </c>
      <c r="V71" s="128">
        <f>DATOS!$J$12*U71*$B$16</f>
        <v>252685.74489656027</v>
      </c>
      <c r="W71" s="49">
        <f t="shared" si="48"/>
        <v>1.0652572057391649</v>
      </c>
      <c r="X71" s="67"/>
      <c r="Y71" s="52">
        <f t="shared" si="49"/>
        <v>1.0946309384788175</v>
      </c>
      <c r="Z71" s="67"/>
      <c r="AA71" s="67">
        <f t="shared" si="50"/>
        <v>0.51299106500387415</v>
      </c>
      <c r="AB71" s="128">
        <f>DATOS!$J$12*AA71*$B$16</f>
        <v>232757.50861677658</v>
      </c>
      <c r="AC71" s="11">
        <f t="shared" si="51"/>
        <v>1.0314206622722206</v>
      </c>
      <c r="AD71" s="67"/>
      <c r="AE71" s="11">
        <f t="shared" si="52"/>
        <v>0.91615020564708238</v>
      </c>
      <c r="AF71" s="67"/>
      <c r="AG71" s="11">
        <f t="shared" si="53"/>
        <v>0.46563143223652964</v>
      </c>
      <c r="AH71" s="11">
        <f>DATOS!$J$12*AG71*$B$16</f>
        <v>211269.20037138966</v>
      </c>
      <c r="AI71" s="11">
        <f t="shared" si="54"/>
        <v>0.99758411880527642</v>
      </c>
      <c r="AJ71" s="67"/>
      <c r="AK71" s="11">
        <f t="shared" si="55"/>
        <v>0.76198037235335103</v>
      </c>
      <c r="AL71" s="67"/>
      <c r="AM71" s="11">
        <f t="shared" si="56"/>
        <v>0.41452676682822731</v>
      </c>
      <c r="AN71" s="128">
        <f>DATOS!$J$12*AM71*$B$16</f>
        <v>188081.67253590858</v>
      </c>
      <c r="AO71" s="11">
        <f t="shared" si="57"/>
        <v>0.963747575338332</v>
      </c>
      <c r="AP71" s="67"/>
      <c r="AQ71" s="11">
        <f t="shared" si="58"/>
        <v>0.6295052322020277</v>
      </c>
      <c r="AR71" s="67"/>
      <c r="AS71" s="11">
        <f t="shared" si="59"/>
        <v>0.33957962953135545</v>
      </c>
      <c r="AT71" s="128">
        <f>DATOS!$J$12*AS71*$B$16</f>
        <v>154076.18950659374</v>
      </c>
      <c r="AU71" s="11">
        <f t="shared" si="60"/>
        <v>0.92991103187138791</v>
      </c>
      <c r="AV71" s="67"/>
      <c r="AW71" s="11">
        <f t="shared" si="61"/>
        <v>0.51631025070047942</v>
      </c>
      <c r="AX71" s="67"/>
      <c r="AY71" s="11">
        <f t="shared" si="62"/>
        <v>0.27603314272343482</v>
      </c>
      <c r="AZ71" s="128">
        <f>DATOS!$J$12*AY71*$B$16</f>
        <v>125243.48079138687</v>
      </c>
      <c r="BA71" s="11">
        <f t="shared" si="64"/>
        <v>0.89607448840444359</v>
      </c>
      <c r="BB71" s="67"/>
      <c r="BC71" s="11">
        <f t="shared" si="65"/>
        <v>0.42017360707705409</v>
      </c>
      <c r="BD71" s="67"/>
      <c r="BE71" s="11">
        <f t="shared" si="66"/>
        <v>0.22250362510928232</v>
      </c>
      <c r="BF71" s="128">
        <f>DATOS!$J$12*BE71*$B$16</f>
        <v>100955.73387471512</v>
      </c>
      <c r="BG71" s="67">
        <f t="shared" si="63"/>
        <v>1154923.3437310001</v>
      </c>
    </row>
    <row r="72" spans="1:59">
      <c r="A72" s="41">
        <f t="shared" si="39"/>
        <v>280</v>
      </c>
      <c r="B72" s="67">
        <f t="shared" si="37"/>
        <v>0.81989905802239615</v>
      </c>
      <c r="C72" s="67">
        <f t="shared" si="4"/>
        <v>0.83413257905735594</v>
      </c>
      <c r="D72" s="67">
        <f t="shared" si="5"/>
        <v>0.84913409039934951</v>
      </c>
      <c r="E72" s="67">
        <f t="shared" si="6"/>
        <v>0.86497523656262221</v>
      </c>
      <c r="F72" s="67">
        <f t="shared" si="7"/>
        <v>0.88173738239737331</v>
      </c>
      <c r="G72" s="67">
        <f t="shared" si="8"/>
        <v>0.89951337719092295</v>
      </c>
      <c r="H72" s="67">
        <f t="shared" si="9"/>
        <v>0.91840972654884445</v>
      </c>
      <c r="I72" s="67">
        <f t="shared" si="10"/>
        <v>0.93854928835100704</v>
      </c>
      <c r="J72" s="46"/>
      <c r="K72" s="67">
        <f t="shared" si="40"/>
        <v>1.1378080653959326</v>
      </c>
      <c r="L72" s="67">
        <f t="shared" si="41"/>
        <v>327.85939404383794</v>
      </c>
      <c r="M72" s="67">
        <f t="shared" si="42"/>
        <v>1.558915897430857</v>
      </c>
      <c r="N72" s="67">
        <f t="shared" si="43"/>
        <v>158673.66877133748</v>
      </c>
      <c r="O72" s="67">
        <f t="shared" si="44"/>
        <v>0.58943483287040221</v>
      </c>
      <c r="P72" s="128">
        <f>DATOS!$J$12*O72*$B$16</f>
        <v>267442.05221162044</v>
      </c>
      <c r="Q72" s="67">
        <f t="shared" si="45"/>
        <v>1.1039715219289881</v>
      </c>
      <c r="R72" s="67"/>
      <c r="S72" s="67">
        <f t="shared" si="46"/>
        <v>1.3202020156273875</v>
      </c>
      <c r="T72" s="67"/>
      <c r="U72" s="67">
        <f t="shared" si="47"/>
        <v>0.55296251331023794</v>
      </c>
      <c r="V72" s="128">
        <f>DATOS!$J$12*U72*$B$16</f>
        <v>250893.60368409174</v>
      </c>
      <c r="W72" s="49">
        <f t="shared" si="48"/>
        <v>1.0701349784620438</v>
      </c>
      <c r="X72" s="67"/>
      <c r="Y72" s="52">
        <f t="shared" si="49"/>
        <v>1.1119647373326853</v>
      </c>
      <c r="Z72" s="67"/>
      <c r="AA72" s="67">
        <f t="shared" si="50"/>
        <v>0.51028669915026004</v>
      </c>
      <c r="AB72" s="128">
        <f>DATOS!$J$12*AA72*$B$16</f>
        <v>231530.46685831877</v>
      </c>
      <c r="AC72" s="11">
        <f t="shared" si="51"/>
        <v>1.0362984349950997</v>
      </c>
      <c r="AD72" s="67"/>
      <c r="AE72" s="11">
        <f t="shared" si="52"/>
        <v>0.93113638178348213</v>
      </c>
      <c r="AF72" s="67"/>
      <c r="AG72" s="11">
        <f t="shared" si="53"/>
        <v>0.46392489486537219</v>
      </c>
      <c r="AH72" s="11">
        <f>DATOS!$J$12*AG72*$B$16</f>
        <v>210494.89958143531</v>
      </c>
      <c r="AI72" s="11">
        <f t="shared" si="54"/>
        <v>1.0024618915281551</v>
      </c>
      <c r="AJ72" s="67"/>
      <c r="AK72" s="11">
        <f t="shared" si="55"/>
        <v>0.7748699617715582</v>
      </c>
      <c r="AL72" s="67"/>
      <c r="AM72" s="11">
        <f t="shared" si="56"/>
        <v>0.41593839006828015</v>
      </c>
      <c r="AN72" s="128">
        <f>DATOS!$J$12*AM72*$B$16</f>
        <v>188722.16304514927</v>
      </c>
      <c r="AO72" s="11">
        <f t="shared" si="57"/>
        <v>0.96862534806121092</v>
      </c>
      <c r="AP72" s="67"/>
      <c r="AQ72" s="11">
        <f t="shared" si="58"/>
        <v>0.64053005644614547</v>
      </c>
      <c r="AR72" s="67"/>
      <c r="AS72" s="11">
        <f t="shared" si="59"/>
        <v>0.34285708223385691</v>
      </c>
      <c r="AT72" s="128">
        <f>DATOS!$J$12*AS72*$B$16</f>
        <v>155563.25580790994</v>
      </c>
      <c r="AU72" s="11">
        <f t="shared" si="60"/>
        <v>0.93478880459426683</v>
      </c>
      <c r="AV72" s="67"/>
      <c r="AW72" s="11">
        <f t="shared" si="61"/>
        <v>0.525683763644331</v>
      </c>
      <c r="AX72" s="67"/>
      <c r="AY72" s="11">
        <f t="shared" si="62"/>
        <v>0.27883049577417046</v>
      </c>
      <c r="AZ72" s="128">
        <f>DATOS!$J$12*AY72*$B$16</f>
        <v>126512.71328144173</v>
      </c>
      <c r="BA72" s="11">
        <f t="shared" si="64"/>
        <v>0.90095226112732263</v>
      </c>
      <c r="BB72" s="67"/>
      <c r="BC72" s="11">
        <f t="shared" si="65"/>
        <v>0.42809173383357452</v>
      </c>
      <c r="BD72" s="67"/>
      <c r="BE72" s="11">
        <f t="shared" si="66"/>
        <v>0.22487406536096777</v>
      </c>
      <c r="BF72" s="128">
        <f>DATOS!$J$12*BE72*$B$16</f>
        <v>102031.26482436834</v>
      </c>
      <c r="BG72" s="67">
        <f t="shared" si="63"/>
        <v>1153974.3664215209</v>
      </c>
    </row>
    <row r="73" spans="1:59">
      <c r="A73" s="41">
        <f t="shared" si="39"/>
        <v>285</v>
      </c>
      <c r="B73" s="67">
        <f t="shared" si="37"/>
        <v>0.83454011262993899</v>
      </c>
      <c r="C73" s="67">
        <f t="shared" si="4"/>
        <v>0.84902780368338016</v>
      </c>
      <c r="D73" s="67">
        <f t="shared" si="5"/>
        <v>0.86429719915648073</v>
      </c>
      <c r="E73" s="67">
        <f t="shared" si="6"/>
        <v>0.88042122292981195</v>
      </c>
      <c r="F73" s="67">
        <f t="shared" si="7"/>
        <v>0.8974826927973264</v>
      </c>
      <c r="G73" s="67">
        <f t="shared" si="8"/>
        <v>0.91557611606933231</v>
      </c>
      <c r="H73" s="67">
        <f t="shared" si="9"/>
        <v>0.93480990023721666</v>
      </c>
      <c r="I73" s="67">
        <f t="shared" si="10"/>
        <v>0.95530909707156064</v>
      </c>
      <c r="J73" s="46"/>
      <c r="K73" s="67">
        <f t="shared" si="40"/>
        <v>1.1427737259156201</v>
      </c>
      <c r="L73" s="67">
        <f t="shared" si="41"/>
        <v>329.29024912258592</v>
      </c>
      <c r="M73" s="67">
        <f t="shared" si="42"/>
        <v>1.5824379958852004</v>
      </c>
      <c r="N73" s="67">
        <f t="shared" si="43"/>
        <v>161067.8567227865</v>
      </c>
      <c r="O73" s="67">
        <f t="shared" si="44"/>
        <v>0.58375845275632221</v>
      </c>
      <c r="P73" s="128">
        <f>DATOS!$J$12*O73*$B$16</f>
        <v>264866.52958861901</v>
      </c>
      <c r="Q73" s="67">
        <f t="shared" si="45"/>
        <v>1.1089371824486758</v>
      </c>
      <c r="R73" s="67"/>
      <c r="S73" s="67">
        <f t="shared" si="46"/>
        <v>1.3407361154650772</v>
      </c>
      <c r="T73" s="67"/>
      <c r="U73" s="67">
        <f t="shared" si="47"/>
        <v>0.54886310529622484</v>
      </c>
      <c r="V73" s="128">
        <f>DATOS!$J$12*U73*$B$16</f>
        <v>249033.59468736945</v>
      </c>
      <c r="W73" s="49">
        <f t="shared" si="48"/>
        <v>1.0751006389817315</v>
      </c>
      <c r="X73" s="67"/>
      <c r="Y73" s="52">
        <f t="shared" si="49"/>
        <v>1.1298099134570696</v>
      </c>
      <c r="Z73" s="67"/>
      <c r="AA73" s="67">
        <f t="shared" si="50"/>
        <v>0.50747155650231335</v>
      </c>
      <c r="AB73" s="128">
        <f>DATOS!$J$12*AA73*$B$16</f>
        <v>230253.16276115685</v>
      </c>
      <c r="AC73" s="11">
        <f t="shared" si="51"/>
        <v>1.0412640955147872</v>
      </c>
      <c r="AD73" s="67"/>
      <c r="AE73" s="11">
        <f t="shared" si="52"/>
        <v>0.94657032797134033</v>
      </c>
      <c r="AF73" s="67"/>
      <c r="AG73" s="11">
        <f t="shared" si="53"/>
        <v>0.46213919966884592</v>
      </c>
      <c r="AH73" s="11">
        <f>DATOS!$J$12*AG73*$B$16</f>
        <v>209684.68280877228</v>
      </c>
      <c r="AI73" s="11">
        <f t="shared" si="54"/>
        <v>1.0074275520478431</v>
      </c>
      <c r="AJ73" s="67"/>
      <c r="AK73" s="11">
        <f t="shared" si="55"/>
        <v>0.78814986876387272</v>
      </c>
      <c r="AL73" s="67"/>
      <c r="AM73" s="11">
        <f t="shared" si="56"/>
        <v>0.4149621290870868</v>
      </c>
      <c r="AN73" s="128">
        <f>DATOS!$J$12*AM73*$B$16</f>
        <v>188279.2078179649</v>
      </c>
      <c r="AO73" s="11">
        <f t="shared" si="57"/>
        <v>0.97359100858089864</v>
      </c>
      <c r="AP73" s="67"/>
      <c r="AQ73" s="11">
        <f t="shared" si="58"/>
        <v>0.65189348244704715</v>
      </c>
      <c r="AR73" s="67"/>
      <c r="AS73" s="11">
        <f t="shared" si="59"/>
        <v>0.34624661676460211</v>
      </c>
      <c r="AT73" s="128">
        <f>DATOS!$J$12*AS73*$B$16</f>
        <v>157101.17657606371</v>
      </c>
      <c r="AU73" s="11">
        <f t="shared" si="60"/>
        <v>0.93975446511395433</v>
      </c>
      <c r="AV73" s="67"/>
      <c r="AW73" s="11">
        <f t="shared" si="61"/>
        <v>0.53534949703099111</v>
      </c>
      <c r="AX73" s="67"/>
      <c r="AY73" s="11">
        <f t="shared" si="62"/>
        <v>0.28172270383085091</v>
      </c>
      <c r="AZ73" s="128">
        <f>DATOS!$J$12*AY73*$B$16</f>
        <v>127824.98397697367</v>
      </c>
      <c r="BA73" s="11">
        <f t="shared" si="64"/>
        <v>0.90591792164701013</v>
      </c>
      <c r="BB73" s="67"/>
      <c r="BC73" s="11">
        <f t="shared" si="65"/>
        <v>0.43626064786735835</v>
      </c>
      <c r="BD73" s="67"/>
      <c r="BE73" s="11">
        <f t="shared" si="66"/>
        <v>0.22732426267693384</v>
      </c>
      <c r="BF73" s="128">
        <f>DATOS!$J$12*BE73*$B$16</f>
        <v>103142.98364715031</v>
      </c>
      <c r="BG73" s="67">
        <f t="shared" si="63"/>
        <v>1152993.4593284416</v>
      </c>
    </row>
    <row r="74" spans="1:59">
      <c r="A74" s="41">
        <f t="shared" si="39"/>
        <v>290</v>
      </c>
      <c r="B74" s="67">
        <f t="shared" si="37"/>
        <v>0.84918116723748172</v>
      </c>
      <c r="C74" s="67">
        <f t="shared" si="4"/>
        <v>0.86392302830940437</v>
      </c>
      <c r="D74" s="67">
        <f t="shared" si="5"/>
        <v>0.87946030791361196</v>
      </c>
      <c r="E74" s="67">
        <f t="shared" si="6"/>
        <v>0.89586720929700159</v>
      </c>
      <c r="F74" s="67">
        <f t="shared" si="7"/>
        <v>0.91322800319727948</v>
      </c>
      <c r="G74" s="67">
        <f t="shared" si="8"/>
        <v>0.93163885494774168</v>
      </c>
      <c r="H74" s="67">
        <f t="shared" si="9"/>
        <v>0.95121007392558887</v>
      </c>
      <c r="I74" s="67">
        <f t="shared" si="10"/>
        <v>0.97206890579211436</v>
      </c>
      <c r="J74" s="46"/>
      <c r="K74" s="67">
        <f t="shared" si="40"/>
        <v>1.1478272742321165</v>
      </c>
      <c r="L74" s="67">
        <f t="shared" si="41"/>
        <v>330.74642906998434</v>
      </c>
      <c r="M74" s="67">
        <f t="shared" si="42"/>
        <v>1.6066337348921165</v>
      </c>
      <c r="N74" s="67">
        <f t="shared" si="43"/>
        <v>163530.61092472152</v>
      </c>
      <c r="O74" s="67">
        <f t="shared" si="44"/>
        <v>0.57787164771545185</v>
      </c>
      <c r="P74" s="128">
        <f>DATOS!$J$12*O74*$B$16</f>
        <v>262195.53165415145</v>
      </c>
      <c r="Q74" s="67">
        <f t="shared" si="45"/>
        <v>1.1139907307651722</v>
      </c>
      <c r="R74" s="67"/>
      <c r="S74" s="67">
        <f t="shared" si="46"/>
        <v>1.3618651755678453</v>
      </c>
      <c r="T74" s="67"/>
      <c r="U74" s="67">
        <f t="shared" si="47"/>
        <v>0.54460232398724029</v>
      </c>
      <c r="V74" s="128">
        <f>DATOS!$J$12*U74*$B$16</f>
        <v>247100.3663917993</v>
      </c>
      <c r="W74" s="49">
        <f t="shared" si="48"/>
        <v>1.0801541872982277</v>
      </c>
      <c r="X74" s="67"/>
      <c r="Y74" s="52">
        <f t="shared" si="49"/>
        <v>1.1481785088250702</v>
      </c>
      <c r="Z74" s="67"/>
      <c r="AA74" s="67">
        <f t="shared" si="50"/>
        <v>0.50453561222307253</v>
      </c>
      <c r="AB74" s="128">
        <f>DATOS!$J$12*AA74*$B$16</f>
        <v>228921.04779367952</v>
      </c>
      <c r="AC74" s="11">
        <f t="shared" si="51"/>
        <v>1.0463176438312836</v>
      </c>
      <c r="AD74" s="67"/>
      <c r="AE74" s="11">
        <f t="shared" si="52"/>
        <v>0.96246283739397032</v>
      </c>
      <c r="AF74" s="67"/>
      <c r="AG74" s="11">
        <f t="shared" si="53"/>
        <v>0.46026588958030862</v>
      </c>
      <c r="AH74" s="11">
        <f>DATOS!$J$12*AG74*$B$16</f>
        <v>208834.71286032625</v>
      </c>
      <c r="AI74" s="11">
        <f t="shared" si="54"/>
        <v>1.012481100364339</v>
      </c>
      <c r="AJ74" s="67"/>
      <c r="AK74" s="11">
        <f t="shared" si="55"/>
        <v>0.80182972993794299</v>
      </c>
      <c r="AL74" s="67"/>
      <c r="AM74" s="11">
        <f t="shared" si="56"/>
        <v>0.41392504999004576</v>
      </c>
      <c r="AN74" s="128">
        <f>DATOS!$J$12*AM74*$B$16</f>
        <v>187808.65781557065</v>
      </c>
      <c r="AO74" s="11">
        <f t="shared" si="57"/>
        <v>0.97864455689739482</v>
      </c>
      <c r="AP74" s="67"/>
      <c r="AQ74" s="11">
        <f t="shared" si="58"/>
        <v>0.6636040785550027</v>
      </c>
      <c r="AR74" s="67"/>
      <c r="AS74" s="11">
        <f t="shared" si="59"/>
        <v>0.34974917155997726</v>
      </c>
      <c r="AT74" s="128">
        <f>DATOS!$J$12*AS74*$B$16</f>
        <v>158690.37760427091</v>
      </c>
      <c r="AU74" s="11">
        <f t="shared" si="60"/>
        <v>0.94480801343045062</v>
      </c>
      <c r="AV74" s="67"/>
      <c r="AW74" s="11">
        <f t="shared" si="61"/>
        <v>0.54531503541027293</v>
      </c>
      <c r="AX74" s="67"/>
      <c r="AY74" s="11">
        <f t="shared" si="62"/>
        <v>0.28471061813477472</v>
      </c>
      <c r="AZ74" s="128">
        <f>DATOS!$J$12*AY74*$B$16</f>
        <v>129180.67910849898</v>
      </c>
      <c r="BA74" s="11">
        <f t="shared" si="64"/>
        <v>0.91097146996350642</v>
      </c>
      <c r="BB74" s="67"/>
      <c r="BC74" s="11">
        <f t="shared" si="65"/>
        <v>0.44468703055870823</v>
      </c>
      <c r="BD74" s="67"/>
      <c r="BE74" s="11">
        <f t="shared" si="66"/>
        <v>0.22985498238061638</v>
      </c>
      <c r="BF74" s="128">
        <f>DATOS!$J$12*BE74*$B$16</f>
        <v>104291.23759038826</v>
      </c>
      <c r="BG74" s="67">
        <f t="shared" si="63"/>
        <v>1151980.3160637089</v>
      </c>
    </row>
    <row r="75" spans="1:59">
      <c r="A75" s="41">
        <f t="shared" si="39"/>
        <v>295</v>
      </c>
      <c r="B75" s="67">
        <f t="shared" si="37"/>
        <v>0.86382222184502455</v>
      </c>
      <c r="C75" s="67">
        <f t="shared" si="4"/>
        <v>0.87881825293542859</v>
      </c>
      <c r="D75" s="67">
        <f t="shared" si="5"/>
        <v>0.89462341667074319</v>
      </c>
      <c r="E75" s="67">
        <f t="shared" si="6"/>
        <v>0.91131319566419133</v>
      </c>
      <c r="F75" s="67">
        <f t="shared" si="7"/>
        <v>0.92897331359723256</v>
      </c>
      <c r="G75" s="67">
        <f t="shared" si="8"/>
        <v>0.94770159382615105</v>
      </c>
      <c r="H75" s="67">
        <f t="shared" si="9"/>
        <v>0.96761024761396108</v>
      </c>
      <c r="I75" s="67">
        <f t="shared" si="10"/>
        <v>0.98882871451266807</v>
      </c>
      <c r="J75" s="46"/>
      <c r="K75" s="67">
        <f t="shared" si="40"/>
        <v>1.1529687103454214</v>
      </c>
      <c r="L75" s="67">
        <f t="shared" si="41"/>
        <v>332.22793388603316</v>
      </c>
      <c r="M75" s="67">
        <f t="shared" si="42"/>
        <v>1.6315183544232137</v>
      </c>
      <c r="N75" s="67">
        <f t="shared" si="43"/>
        <v>166063.48257192544</v>
      </c>
      <c r="O75" s="67">
        <f t="shared" si="44"/>
        <v>0.57176020842006703</v>
      </c>
      <c r="P75" s="128">
        <f>DATOS!$J$12*O75*$B$16</f>
        <v>259422.61126333397</v>
      </c>
      <c r="Q75" s="67">
        <f t="shared" si="45"/>
        <v>1.1191321668784771</v>
      </c>
      <c r="R75" s="67"/>
      <c r="S75" s="67">
        <f t="shared" si="46"/>
        <v>1.3836029547882256</v>
      </c>
      <c r="T75" s="67"/>
      <c r="U75" s="67">
        <f t="shared" si="47"/>
        <v>0.54016800290352585</v>
      </c>
      <c r="V75" s="128">
        <f>DATOS!$J$12*U75*$B$16</f>
        <v>245088.39854622984</v>
      </c>
      <c r="W75" s="49">
        <f t="shared" si="48"/>
        <v>1.0852956234115327</v>
      </c>
      <c r="X75" s="67"/>
      <c r="Y75" s="52">
        <f t="shared" si="49"/>
        <v>1.1670829034824632</v>
      </c>
      <c r="Z75" s="67"/>
      <c r="AA75" s="67">
        <f t="shared" si="50"/>
        <v>0.50146851934802761</v>
      </c>
      <c r="AB75" s="128">
        <f>DATOS!$J$12*AA75*$B$16</f>
        <v>227529.42726655334</v>
      </c>
      <c r="AC75" s="11">
        <f t="shared" si="51"/>
        <v>1.0514590799445882</v>
      </c>
      <c r="AD75" s="67"/>
      <c r="AE75" s="11">
        <f t="shared" si="52"/>
        <v>0.97882500956653162</v>
      </c>
      <c r="AF75" s="67"/>
      <c r="AG75" s="11">
        <f t="shared" si="53"/>
        <v>0.458296229765076</v>
      </c>
      <c r="AH75" s="11">
        <f>DATOS!$J$12*AG75*$B$16</f>
        <v>207941.02651237269</v>
      </c>
      <c r="AI75" s="11">
        <f t="shared" si="54"/>
        <v>1.0176225364776439</v>
      </c>
      <c r="AJ75" s="67"/>
      <c r="AK75" s="11">
        <f t="shared" si="55"/>
        <v>0.81591945855158909</v>
      </c>
      <c r="AL75" s="67"/>
      <c r="AM75" s="11">
        <f t="shared" si="56"/>
        <v>0.41281983822784218</v>
      </c>
      <c r="AN75" s="128">
        <f>DATOS!$J$12*AM75*$B$16</f>
        <v>187307.19423498659</v>
      </c>
      <c r="AO75" s="11">
        <f t="shared" si="57"/>
        <v>0.9837859930106998</v>
      </c>
      <c r="AP75" s="67"/>
      <c r="AQ75" s="11">
        <f t="shared" si="58"/>
        <v>0.67567066207500004</v>
      </c>
      <c r="AR75" s="67"/>
      <c r="AS75" s="11">
        <f t="shared" si="59"/>
        <v>0.35336573278473554</v>
      </c>
      <c r="AT75" s="128">
        <f>DATOS!$J$12*AS75*$B$16</f>
        <v>160331.30634135997</v>
      </c>
      <c r="AU75" s="11">
        <f t="shared" si="60"/>
        <v>0.9499494495437556</v>
      </c>
      <c r="AV75" s="67"/>
      <c r="AW75" s="11">
        <f t="shared" si="61"/>
        <v>0.55558818650505781</v>
      </c>
      <c r="AX75" s="67"/>
      <c r="AY75" s="11">
        <f t="shared" si="62"/>
        <v>0.28779512989173683</v>
      </c>
      <c r="AZ75" s="128">
        <f>DATOS!$J$12*AY75*$B$16</f>
        <v>130580.20303947473</v>
      </c>
      <c r="BA75" s="11">
        <f t="shared" si="64"/>
        <v>0.9161129060768114</v>
      </c>
      <c r="BB75" s="67"/>
      <c r="BC75" s="11">
        <f t="shared" si="65"/>
        <v>0.45337776252124479</v>
      </c>
      <c r="BD75" s="67"/>
      <c r="BE75" s="11">
        <f t="shared" si="66"/>
        <v>0.23246702297549804</v>
      </c>
      <c r="BF75" s="128">
        <f>DATOS!$J$12*BE75*$B$16</f>
        <v>105476.3889560674</v>
      </c>
      <c r="BG75" s="67">
        <f t="shared" si="63"/>
        <v>1150934.6169560351</v>
      </c>
    </row>
    <row r="76" spans="1:59">
      <c r="A76" s="41">
        <f t="shared" si="39"/>
        <v>300</v>
      </c>
      <c r="B76" s="67">
        <f t="shared" si="37"/>
        <v>0.87846327645256728</v>
      </c>
      <c r="C76" s="67">
        <f t="shared" si="4"/>
        <v>0.89371347756145281</v>
      </c>
      <c r="D76" s="67">
        <f t="shared" si="5"/>
        <v>0.90978652542787453</v>
      </c>
      <c r="E76" s="67">
        <f t="shared" si="6"/>
        <v>0.92675918203138097</v>
      </c>
      <c r="F76" s="67">
        <f t="shared" si="7"/>
        <v>0.94471862399718576</v>
      </c>
      <c r="G76" s="67">
        <f t="shared" si="8"/>
        <v>0.9637643327045603</v>
      </c>
      <c r="H76" s="67">
        <f t="shared" si="9"/>
        <v>0.98401042130233329</v>
      </c>
      <c r="I76" s="67">
        <f t="shared" si="10"/>
        <v>1.0055885232332218</v>
      </c>
      <c r="J76" s="46"/>
      <c r="K76" s="67">
        <f t="shared" si="40"/>
        <v>1.1581980342555349</v>
      </c>
      <c r="L76" s="67">
        <f t="shared" si="41"/>
        <v>333.73476357073235</v>
      </c>
      <c r="M76" s="67">
        <f t="shared" si="42"/>
        <v>1.6571075105266013</v>
      </c>
      <c r="N76" s="67">
        <f t="shared" si="43"/>
        <v>168668.06520937145</v>
      </c>
      <c r="O76" s="67">
        <f t="shared" si="44"/>
        <v>0.56540947932694197</v>
      </c>
      <c r="P76" s="128">
        <f>DATOS!$J$12*O76*$B$16</f>
        <v>256541.1188115995</v>
      </c>
      <c r="Q76" s="67">
        <f t="shared" si="45"/>
        <v>1.1243614907885906</v>
      </c>
      <c r="R76" s="67"/>
      <c r="S76" s="67">
        <f t="shared" si="46"/>
        <v>1.4059635914048798</v>
      </c>
      <c r="T76" s="67"/>
      <c r="U76" s="67">
        <f t="shared" si="47"/>
        <v>0.53554758688814319</v>
      </c>
      <c r="V76" s="128">
        <f>DATOS!$J$12*U76*$B$16</f>
        <v>242991.99454647326</v>
      </c>
      <c r="W76" s="49">
        <f t="shared" si="48"/>
        <v>1.0905249473216463</v>
      </c>
      <c r="X76" s="67"/>
      <c r="Y76" s="52">
        <f t="shared" si="49"/>
        <v>1.1865358224802849</v>
      </c>
      <c r="Z76" s="67"/>
      <c r="AA76" s="67">
        <f t="shared" si="50"/>
        <v>0.49825959376070078</v>
      </c>
      <c r="AB76" s="128">
        <f>DATOS!$J$12*AA76*$B$16</f>
        <v>226073.45351574896</v>
      </c>
      <c r="AC76" s="11">
        <f t="shared" si="51"/>
        <v>1.056688403854702</v>
      </c>
      <c r="AD76" s="67"/>
      <c r="AE76" s="11">
        <f t="shared" si="52"/>
        <v>0.99566825674400727</v>
      </c>
      <c r="AF76" s="67"/>
      <c r="AG76" s="11">
        <f t="shared" si="53"/>
        <v>0.45622119422889917</v>
      </c>
      <c r="AH76" s="11">
        <f>DATOS!$J$12*AG76*$B$16</f>
        <v>206999.5284344517</v>
      </c>
      <c r="AI76" s="11">
        <f t="shared" si="54"/>
        <v>1.0228518603877577</v>
      </c>
      <c r="AJ76" s="67"/>
      <c r="AK76" s="11">
        <f t="shared" si="55"/>
        <v>0.83042925041882087</v>
      </c>
      <c r="AL76" s="67"/>
      <c r="AM76" s="11">
        <f t="shared" si="56"/>
        <v>0.41163892900486865</v>
      </c>
      <c r="AN76" s="128">
        <f>DATOS!$J$12*AM76*$B$16</f>
        <v>186771.38472992275</v>
      </c>
      <c r="AO76" s="11">
        <f t="shared" si="57"/>
        <v>0.98901531692081313</v>
      </c>
      <c r="AP76" s="67"/>
      <c r="AQ76" s="11">
        <f t="shared" si="58"/>
        <v>0.68810230469327527</v>
      </c>
      <c r="AR76" s="67"/>
      <c r="AS76" s="11">
        <f t="shared" si="59"/>
        <v>0.35709733267098853</v>
      </c>
      <c r="AT76" s="128">
        <f>DATOS!$J$12*AS76*$B$16</f>
        <v>162024.43113812877</v>
      </c>
      <c r="AU76" s="11">
        <f t="shared" si="60"/>
        <v>0.95517877345386915</v>
      </c>
      <c r="AV76" s="67"/>
      <c r="AW76" s="11">
        <f t="shared" si="61"/>
        <v>0.56617698618059875</v>
      </c>
      <c r="AX76" s="67"/>
      <c r="AY76" s="11">
        <f t="shared" si="62"/>
        <v>0.29097716885731784</v>
      </c>
      <c r="AZ76" s="128">
        <f>DATOS!$J$12*AY76*$B$16</f>
        <v>132023.97762440742</v>
      </c>
      <c r="BA76" s="11">
        <f t="shared" si="64"/>
        <v>0.92134222998692483</v>
      </c>
      <c r="BB76" s="67"/>
      <c r="BC76" s="11">
        <f t="shared" si="65"/>
        <v>0.46233992813601826</v>
      </c>
      <c r="BD76" s="67"/>
      <c r="BE76" s="11">
        <f t="shared" si="66"/>
        <v>0.23516121494252393</v>
      </c>
      <c r="BF76" s="128">
        <f>DATOS!$J$12*BE76*$B$16</f>
        <v>106698.81455518684</v>
      </c>
      <c r="BG76" s="67">
        <f t="shared" si="63"/>
        <v>1149856.0295323399</v>
      </c>
    </row>
    <row r="77" spans="1:59">
      <c r="A77" s="41">
        <f t="shared" si="39"/>
        <v>305</v>
      </c>
      <c r="B77" s="67">
        <f t="shared" si="37"/>
        <v>0.89310433106011011</v>
      </c>
      <c r="C77" s="67">
        <f t="shared" si="4"/>
        <v>0.90860870218747702</v>
      </c>
      <c r="D77" s="67">
        <f t="shared" si="5"/>
        <v>0.92494963418500575</v>
      </c>
      <c r="E77" s="67">
        <f t="shared" si="6"/>
        <v>0.9422051683985706</v>
      </c>
      <c r="F77" s="67">
        <f t="shared" si="7"/>
        <v>0.96046393439713884</v>
      </c>
      <c r="G77" s="67">
        <f t="shared" si="8"/>
        <v>0.97982707158296967</v>
      </c>
      <c r="H77" s="67">
        <f t="shared" si="9"/>
        <v>1.0004105949907056</v>
      </c>
      <c r="I77" s="67">
        <f t="shared" si="10"/>
        <v>1.0223483319537754</v>
      </c>
      <c r="J77" s="46"/>
      <c r="K77" s="67">
        <f t="shared" si="40"/>
        <v>1.1635152459624569</v>
      </c>
      <c r="L77" s="67">
        <f t="shared" si="41"/>
        <v>335.26691812408194</v>
      </c>
      <c r="M77" s="67">
        <f t="shared" si="42"/>
        <v>1.6834172835502932</v>
      </c>
      <c r="N77" s="67">
        <f t="shared" si="43"/>
        <v>171345.99556923905</v>
      </c>
      <c r="O77" s="67">
        <f t="shared" si="44"/>
        <v>0.55880433970039645</v>
      </c>
      <c r="P77" s="128">
        <f>DATOS!$J$12*O77*$B$16</f>
        <v>253544.19362435659</v>
      </c>
      <c r="Q77" s="67">
        <f t="shared" si="45"/>
        <v>1.1296787024955126</v>
      </c>
      <c r="R77" s="67"/>
      <c r="S77" s="67">
        <f t="shared" si="46"/>
        <v>1.4289616107640311</v>
      </c>
      <c r="T77" s="67"/>
      <c r="U77" s="67">
        <f t="shared" si="47"/>
        <v>0.53072811504604478</v>
      </c>
      <c r="V77" s="128">
        <f>DATOS!$J$12*U77*$B$16</f>
        <v>240805.27369431366</v>
      </c>
      <c r="W77" s="49">
        <f t="shared" si="48"/>
        <v>1.0958421590285683</v>
      </c>
      <c r="X77" s="67"/>
      <c r="Y77" s="52">
        <f t="shared" si="49"/>
        <v>1.2065503429577702</v>
      </c>
      <c r="Z77" s="67"/>
      <c r="AA77" s="67">
        <f t="shared" si="50"/>
        <v>0.49489779891352031</v>
      </c>
      <c r="AB77" s="128">
        <f>DATOS!$J$12*AA77*$B$16</f>
        <v>224548.11897000103</v>
      </c>
      <c r="AC77" s="11">
        <f t="shared" si="51"/>
        <v>1.062005615561624</v>
      </c>
      <c r="AD77" s="67"/>
      <c r="AE77" s="11">
        <f t="shared" si="52"/>
        <v>1.0130043104689095</v>
      </c>
      <c r="AF77" s="67"/>
      <c r="AG77" s="11">
        <f t="shared" si="53"/>
        <v>0.45403145219084673</v>
      </c>
      <c r="AH77" s="11">
        <f>DATOS!$J$12*AG77*$B$16</f>
        <v>206005.985006387</v>
      </c>
      <c r="AI77" s="11">
        <f t="shared" si="54"/>
        <v>1.0281690720946799</v>
      </c>
      <c r="AJ77" s="67"/>
      <c r="AK77" s="11">
        <f t="shared" si="55"/>
        <v>0.84536958994540345</v>
      </c>
      <c r="AL77" s="67"/>
      <c r="AM77" s="11">
        <f t="shared" si="56"/>
        <v>0.41037449517884744</v>
      </c>
      <c r="AN77" s="128">
        <f>DATOS!$J$12*AM77*$B$16</f>
        <v>186197.67792052004</v>
      </c>
      <c r="AO77" s="11">
        <f t="shared" si="57"/>
        <v>0.99433252862773536</v>
      </c>
      <c r="AP77" s="67"/>
      <c r="AQ77" s="11">
        <f t="shared" si="58"/>
        <v>0.70090833802360653</v>
      </c>
      <c r="AR77" s="67"/>
      <c r="AS77" s="11">
        <f t="shared" si="59"/>
        <v>0.36094504792013632</v>
      </c>
      <c r="AT77" s="128">
        <f>DATOS!$J$12*AS77*$B$16</f>
        <v>163770.24052225839</v>
      </c>
      <c r="AU77" s="11">
        <f t="shared" si="60"/>
        <v>0.96049598516079115</v>
      </c>
      <c r="AV77" s="67"/>
      <c r="AW77" s="11">
        <f t="shared" si="61"/>
        <v>0.57708970352419442</v>
      </c>
      <c r="AX77" s="67"/>
      <c r="AY77" s="11">
        <f t="shared" si="62"/>
        <v>0.29425770197050527</v>
      </c>
      <c r="AZ77" s="128">
        <f>DATOS!$J$12*AY77*$B$16</f>
        <v>133512.44158889103</v>
      </c>
      <c r="BA77" s="11">
        <f t="shared" si="64"/>
        <v>0.92665944169384684</v>
      </c>
      <c r="BB77" s="67"/>
      <c r="BC77" s="11">
        <f t="shared" si="65"/>
        <v>0.47158082018701292</v>
      </c>
      <c r="BD77" s="67"/>
      <c r="BE77" s="11">
        <f t="shared" si="66"/>
        <v>0.23793841957358955</v>
      </c>
      <c r="BF77" s="128">
        <f>DATOS!$J$12*BE77*$B$16</f>
        <v>107958.90517848244</v>
      </c>
      <c r="BG77" s="67">
        <f t="shared" si="63"/>
        <v>1148744.2089847482</v>
      </c>
    </row>
    <row r="78" spans="1:59">
      <c r="A78" s="41">
        <f t="shared" si="39"/>
        <v>310</v>
      </c>
      <c r="B78" s="67">
        <f t="shared" si="37"/>
        <v>0.90774538566765284</v>
      </c>
      <c r="C78" s="67">
        <f t="shared" si="4"/>
        <v>0.92350392681350124</v>
      </c>
      <c r="D78" s="67">
        <f t="shared" si="5"/>
        <v>0.94011274294213698</v>
      </c>
      <c r="E78" s="67">
        <f t="shared" si="6"/>
        <v>0.95765115476576035</v>
      </c>
      <c r="F78" s="67">
        <f t="shared" si="7"/>
        <v>0.97620924479709192</v>
      </c>
      <c r="G78" s="67">
        <f t="shared" si="8"/>
        <v>0.99588981046137903</v>
      </c>
      <c r="H78" s="67">
        <f t="shared" si="9"/>
        <v>1.0168107686790777</v>
      </c>
      <c r="I78" s="67">
        <f t="shared" si="10"/>
        <v>1.0391081406743292</v>
      </c>
      <c r="J78" s="46"/>
      <c r="K78" s="67">
        <f t="shared" si="40"/>
        <v>1.1689203454661876</v>
      </c>
      <c r="L78" s="67">
        <f t="shared" si="41"/>
        <v>336.82439754608191</v>
      </c>
      <c r="M78" s="67">
        <f t="shared" si="42"/>
        <v>1.7104641865399846</v>
      </c>
      <c r="N78" s="67">
        <f t="shared" si="43"/>
        <v>174098.95442567868</v>
      </c>
      <c r="O78" s="67">
        <f t="shared" si="44"/>
        <v>0.55192918431507765</v>
      </c>
      <c r="P78" s="128">
        <f>DATOS!$J$12*O78*$B$16</f>
        <v>250424.75520133469</v>
      </c>
      <c r="Q78" s="67">
        <f t="shared" si="45"/>
        <v>1.1350838019992435</v>
      </c>
      <c r="R78" s="67"/>
      <c r="S78" s="67">
        <f t="shared" si="46"/>
        <v>1.4526119330837444</v>
      </c>
      <c r="T78" s="67"/>
      <c r="U78" s="67">
        <f t="shared" si="47"/>
        <v>0.52569620338599532</v>
      </c>
      <c r="V78" s="128">
        <f>DATOS!$J$12*U78*$B$16</f>
        <v>238522.16332169148</v>
      </c>
      <c r="W78" s="49">
        <f t="shared" si="48"/>
        <v>1.1012472585322992</v>
      </c>
      <c r="X78" s="67"/>
      <c r="Y78" s="52">
        <f t="shared" si="49"/>
        <v>1.2271399013770383</v>
      </c>
      <c r="Z78" s="67"/>
      <c r="AA78" s="67">
        <f t="shared" si="50"/>
        <v>0.49137173027384667</v>
      </c>
      <c r="AB78" s="128">
        <f>DATOS!$J$12*AA78*$B$16</f>
        <v>222948.24909356178</v>
      </c>
      <c r="AC78" s="11">
        <f t="shared" si="51"/>
        <v>1.0674107150653547</v>
      </c>
      <c r="AD78" s="67"/>
      <c r="AE78" s="11">
        <f t="shared" si="52"/>
        <v>1.0308452282600677</v>
      </c>
      <c r="AF78" s="67"/>
      <c r="AG78" s="11">
        <f t="shared" si="53"/>
        <v>0.45171735420277237</v>
      </c>
      <c r="AH78" s="11">
        <f>DATOS!$J$12*AG78*$B$16</f>
        <v>204956.01802032415</v>
      </c>
      <c r="AI78" s="11">
        <f t="shared" si="54"/>
        <v>1.0335741715984106</v>
      </c>
      <c r="AJ78" s="67"/>
      <c r="AK78" s="11">
        <f t="shared" si="55"/>
        <v>0.86075125629522453</v>
      </c>
      <c r="AL78" s="67"/>
      <c r="AM78" s="11">
        <f t="shared" si="56"/>
        <v>0.40901843492758183</v>
      </c>
      <c r="AN78" s="128">
        <f>DATOS!$J$12*AM78*$B$16</f>
        <v>185582.39779743165</v>
      </c>
      <c r="AO78" s="11">
        <f t="shared" si="57"/>
        <v>0.99973762813146616</v>
      </c>
      <c r="AP78" s="67"/>
      <c r="AQ78" s="11">
        <f t="shared" si="58"/>
        <v>0.71409835927454146</v>
      </c>
      <c r="AR78" s="67"/>
      <c r="AS78" s="11">
        <f t="shared" si="59"/>
        <v>0.36490999815955166</v>
      </c>
      <c r="AT78" s="128">
        <f>DATOS!$J$12*AS78*$B$16</f>
        <v>165569.24249807026</v>
      </c>
      <c r="AU78" s="11">
        <f t="shared" si="60"/>
        <v>0.96590108466452207</v>
      </c>
      <c r="AV78" s="67"/>
      <c r="AW78" s="11">
        <f t="shared" si="61"/>
        <v>0.58833484603635389</v>
      </c>
      <c r="AX78" s="67"/>
      <c r="AY78" s="11">
        <f t="shared" si="62"/>
        <v>0.29763773202883437</v>
      </c>
      <c r="AZ78" s="128">
        <f>DATOS!$J$12*AY78*$B$16</f>
        <v>135046.04992848376</v>
      </c>
      <c r="BA78" s="11">
        <f t="shared" si="64"/>
        <v>0.93206454119757776</v>
      </c>
      <c r="BB78" s="67"/>
      <c r="BC78" s="11">
        <f t="shared" si="65"/>
        <v>0.48110794459909045</v>
      </c>
      <c r="BD78" s="67"/>
      <c r="BE78" s="11">
        <f t="shared" si="66"/>
        <v>0.2407995278354437</v>
      </c>
      <c r="BF78" s="128">
        <f>DATOS!$J$12*BE78*$B$16</f>
        <v>109257.06508094979</v>
      </c>
      <c r="BG78" s="67">
        <f t="shared" si="63"/>
        <v>1147598.7986254143</v>
      </c>
    </row>
    <row r="79" spans="1:59">
      <c r="A79" s="41">
        <f t="shared" si="39"/>
        <v>315</v>
      </c>
      <c r="B79" s="67">
        <f t="shared" si="37"/>
        <v>0.92238644027519567</v>
      </c>
      <c r="C79" s="67">
        <f t="shared" si="4"/>
        <v>0.93839915143952546</v>
      </c>
      <c r="D79" s="67">
        <f t="shared" si="5"/>
        <v>0.95527585169926821</v>
      </c>
      <c r="E79" s="67">
        <f t="shared" si="6"/>
        <v>0.97309714113294998</v>
      </c>
      <c r="F79" s="67">
        <f t="shared" si="7"/>
        <v>0.99195455519704501</v>
      </c>
      <c r="G79" s="67">
        <f t="shared" si="8"/>
        <v>1.0119525493397883</v>
      </c>
      <c r="H79" s="67">
        <f t="shared" si="9"/>
        <v>1.03321094236745</v>
      </c>
      <c r="I79" s="67">
        <f t="shared" si="10"/>
        <v>1.0558679493948828</v>
      </c>
      <c r="J79" s="46"/>
      <c r="K79" s="67">
        <f t="shared" si="40"/>
        <v>1.1744133327667272</v>
      </c>
      <c r="L79" s="67">
        <f t="shared" si="41"/>
        <v>338.40720183673244</v>
      </c>
      <c r="M79" s="67">
        <f t="shared" si="42"/>
        <v>1.7382651738127497</v>
      </c>
      <c r="N79" s="67">
        <f t="shared" si="43"/>
        <v>176928.66746748218</v>
      </c>
      <c r="O79" s="67">
        <f t="shared" si="44"/>
        <v>0.54476790381432894</v>
      </c>
      <c r="P79" s="128">
        <f>DATOS!$J$12*O79*$B$16</f>
        <v>247175.49430466082</v>
      </c>
      <c r="Q79" s="67">
        <f t="shared" si="45"/>
        <v>1.1405767892997829</v>
      </c>
      <c r="R79" s="67"/>
      <c r="S79" s="67">
        <f t="shared" si="46"/>
        <v>1.4769298814225547</v>
      </c>
      <c r="T79" s="67"/>
      <c r="U79" s="67">
        <f t="shared" si="47"/>
        <v>0.52043802714384924</v>
      </c>
      <c r="V79" s="128">
        <f>DATOS!$J$12*U79*$B$16</f>
        <v>236136.39077031068</v>
      </c>
      <c r="W79" s="49">
        <f t="shared" si="48"/>
        <v>1.1067402458328386</v>
      </c>
      <c r="X79" s="67"/>
      <c r="Y79" s="52">
        <f t="shared" si="49"/>
        <v>1.248318300910944</v>
      </c>
      <c r="Z79" s="67"/>
      <c r="AA79" s="67">
        <f t="shared" si="50"/>
        <v>0.48766959947603505</v>
      </c>
      <c r="AB79" s="128">
        <f>DATOS!$J$12*AA79*$B$16</f>
        <v>221268.49519557614</v>
      </c>
      <c r="AC79" s="11">
        <f t="shared" si="51"/>
        <v>1.0729037023658943</v>
      </c>
      <c r="AD79" s="67"/>
      <c r="AE79" s="11">
        <f t="shared" si="52"/>
        <v>1.0492034004438142</v>
      </c>
      <c r="AF79" s="67"/>
      <c r="AG79" s="11">
        <f t="shared" si="53"/>
        <v>0.44926891799841018</v>
      </c>
      <c r="AH79" s="11">
        <f>DATOS!$J$12*AG79*$B$16</f>
        <v>203845.09826009371</v>
      </c>
      <c r="AI79" s="11">
        <f t="shared" si="54"/>
        <v>1.0390671588989497</v>
      </c>
      <c r="AJ79" s="67"/>
      <c r="AK79" s="11">
        <f t="shared" si="55"/>
        <v>0.8765853296887256</v>
      </c>
      <c r="AL79" s="67"/>
      <c r="AM79" s="11">
        <f t="shared" si="56"/>
        <v>0.40756235916781713</v>
      </c>
      <c r="AN79" s="128">
        <f>DATOS!$J$12*AM79*$B$16</f>
        <v>184921.73801343027</v>
      </c>
      <c r="AO79" s="11">
        <f t="shared" si="57"/>
        <v>1.0052306154320054</v>
      </c>
      <c r="AP79" s="67"/>
      <c r="AQ79" s="11">
        <f t="shared" si="58"/>
        <v>0.727682237038764</v>
      </c>
      <c r="AR79" s="67"/>
      <c r="AS79" s="11">
        <f t="shared" si="59"/>
        <v>0.36444760658260583</v>
      </c>
      <c r="AT79" s="128">
        <f>DATOS!$J$12*AS79*$B$16</f>
        <v>165359.44330506778</v>
      </c>
      <c r="AU79" s="11">
        <f t="shared" si="60"/>
        <v>0.97139407196506133</v>
      </c>
      <c r="AV79" s="67"/>
      <c r="AW79" s="11">
        <f t="shared" si="61"/>
        <v>0.59992116493456704</v>
      </c>
      <c r="AX79" s="67"/>
      <c r="AY79" s="11">
        <f t="shared" si="62"/>
        <v>0.30111829639879334</v>
      </c>
      <c r="AZ79" s="128">
        <f>DATOS!$J$12*AY79*$B$16</f>
        <v>136625.27332358493</v>
      </c>
      <c r="BA79" s="11">
        <f t="shared" si="64"/>
        <v>0.93755752849811713</v>
      </c>
      <c r="BB79" s="67"/>
      <c r="BC79" s="11">
        <f t="shared" si="65"/>
        <v>0.49092902527942245</v>
      </c>
      <c r="BD79" s="67"/>
      <c r="BE79" s="11">
        <f t="shared" si="66"/>
        <v>0.24374545925881003</v>
      </c>
      <c r="BF79" s="128">
        <f>DATOS!$J$12*BE79*$B$16</f>
        <v>110593.71147780943</v>
      </c>
      <c r="BG79" s="67">
        <f t="shared" si="63"/>
        <v>1146419.4303312465</v>
      </c>
    </row>
    <row r="80" spans="1:59">
      <c r="A80" s="41">
        <f t="shared" si="39"/>
        <v>320</v>
      </c>
      <c r="B80" s="67">
        <f t="shared" si="37"/>
        <v>0.93702749488273851</v>
      </c>
      <c r="C80" s="67">
        <f t="shared" si="4"/>
        <v>0.95329437606554968</v>
      </c>
      <c r="D80" s="67">
        <f t="shared" si="5"/>
        <v>0.97043896045639944</v>
      </c>
      <c r="E80" s="67">
        <f t="shared" si="6"/>
        <v>0.98854312750013973</v>
      </c>
      <c r="F80" s="67">
        <f t="shared" si="7"/>
        <v>1.007699865596998</v>
      </c>
      <c r="G80" s="67">
        <f t="shared" si="8"/>
        <v>1.0280152882181977</v>
      </c>
      <c r="H80" s="67">
        <f t="shared" si="9"/>
        <v>1.0496111160558221</v>
      </c>
      <c r="I80" s="67">
        <f t="shared" si="10"/>
        <v>1.0726277581154366</v>
      </c>
      <c r="J80" s="46"/>
      <c r="K80" s="67">
        <f t="shared" si="40"/>
        <v>1.1799942078640751</v>
      </c>
      <c r="L80" s="67">
        <f t="shared" si="41"/>
        <v>340.01533099603319</v>
      </c>
      <c r="M80" s="67">
        <f t="shared" si="42"/>
        <v>1.7668376497082561</v>
      </c>
      <c r="N80" s="67">
        <f t="shared" si="43"/>
        <v>179836.90618882197</v>
      </c>
      <c r="O80" s="67">
        <f t="shared" si="44"/>
        <v>0.5373038647012699</v>
      </c>
      <c r="P80" s="128">
        <f>DATOS!$J$12*O80*$B$16</f>
        <v>243788.86388028748</v>
      </c>
      <c r="Q80" s="67">
        <f t="shared" si="45"/>
        <v>1.146157664397131</v>
      </c>
      <c r="R80" s="67"/>
      <c r="S80" s="67">
        <f t="shared" si="46"/>
        <v>1.5019311898139294</v>
      </c>
      <c r="T80" s="67"/>
      <c r="U80" s="67">
        <f t="shared" si="47"/>
        <v>0.5149393027667255</v>
      </c>
      <c r="V80" s="128">
        <f>DATOS!$J$12*U80*$B$16</f>
        <v>233641.47521738583</v>
      </c>
      <c r="W80" s="49">
        <f t="shared" si="48"/>
        <v>1.1123211209301866</v>
      </c>
      <c r="X80" s="67"/>
      <c r="Y80" s="52">
        <f t="shared" si="49"/>
        <v>1.2700997189855268</v>
      </c>
      <c r="Z80" s="67"/>
      <c r="AA80" s="67">
        <f t="shared" si="50"/>
        <v>0.48377921816129776</v>
      </c>
      <c r="AB80" s="128">
        <f>DATOS!$J$12*AA80*$B$16</f>
        <v>219503.32709780298</v>
      </c>
      <c r="AC80" s="11">
        <f t="shared" si="51"/>
        <v>1.0784845774632423</v>
      </c>
      <c r="AD80" s="67"/>
      <c r="AE80" s="11">
        <f t="shared" si="52"/>
        <v>1.0680915571289418</v>
      </c>
      <c r="AF80" s="67"/>
      <c r="AG80" s="11">
        <f t="shared" si="53"/>
        <v>0.44667581405586898</v>
      </c>
      <c r="AH80" s="11">
        <f>DATOS!$J$12*AG80*$B$16</f>
        <v>202668.53895053599</v>
      </c>
      <c r="AI80" s="11">
        <f t="shared" si="54"/>
        <v>1.0446480339962978</v>
      </c>
      <c r="AJ80" s="67"/>
      <c r="AK80" s="11">
        <f t="shared" si="55"/>
        <v>0.89288319783468195</v>
      </c>
      <c r="AL80" s="67"/>
      <c r="AM80" s="11">
        <f t="shared" si="56"/>
        <v>0.40599757871179687</v>
      </c>
      <c r="AN80" s="128">
        <f>DATOS!$J$12*AM80*$B$16</f>
        <v>184211.75605600036</v>
      </c>
      <c r="AO80" s="11">
        <f t="shared" si="57"/>
        <v>1.0108114905293535</v>
      </c>
      <c r="AP80" s="67"/>
      <c r="AQ80" s="11">
        <f t="shared" si="58"/>
        <v>0.74167011720580001</v>
      </c>
      <c r="AR80" s="67"/>
      <c r="AS80" s="11">
        <f t="shared" si="59"/>
        <v>0.36368064981153242</v>
      </c>
      <c r="AT80" s="128">
        <f>DATOS!$J$12*AS80*$B$16</f>
        <v>165011.45489078524</v>
      </c>
      <c r="AU80" s="11">
        <f t="shared" si="60"/>
        <v>0.97697494706240928</v>
      </c>
      <c r="AV80" s="67"/>
      <c r="AW80" s="11">
        <f t="shared" si="61"/>
        <v>0.61185766057082336</v>
      </c>
      <c r="AX80" s="67"/>
      <c r="AY80" s="11">
        <f t="shared" si="62"/>
        <v>0.30470046575575194</v>
      </c>
      <c r="AZ80" s="128">
        <f>DATOS!$J$12*AY80*$B$16</f>
        <v>138250.59756770747</v>
      </c>
      <c r="BA80" s="11">
        <f t="shared" si="64"/>
        <v>0.94313840359546519</v>
      </c>
      <c r="BB80" s="67"/>
      <c r="BC80" s="11">
        <f t="shared" si="65"/>
        <v>0.50105200906347869</v>
      </c>
      <c r="BD80" s="67"/>
      <c r="BE80" s="11">
        <f t="shared" si="66"/>
        <v>0.24677716084793005</v>
      </c>
      <c r="BF80" s="128">
        <f>DATOS!$J$12*BE80*$B$16</f>
        <v>111969.274049738</v>
      </c>
      <c r="BG80" s="67">
        <f t="shared" si="63"/>
        <v>1145205.7249804614</v>
      </c>
    </row>
    <row r="81" spans="1:59">
      <c r="A81" s="41">
        <f t="shared" si="39"/>
        <v>325</v>
      </c>
      <c r="B81" s="67">
        <f t="shared" si="37"/>
        <v>0.95166854949028123</v>
      </c>
      <c r="C81" s="67">
        <f t="shared" si="4"/>
        <v>0.96818960069157389</v>
      </c>
      <c r="D81" s="67">
        <f t="shared" si="5"/>
        <v>0.98560206921353066</v>
      </c>
      <c r="E81" s="67">
        <f t="shared" si="6"/>
        <v>1.0039891138673294</v>
      </c>
      <c r="F81" s="67">
        <f t="shared" si="7"/>
        <v>1.0234451759969512</v>
      </c>
      <c r="G81" s="67">
        <f t="shared" si="8"/>
        <v>1.044078027096607</v>
      </c>
      <c r="H81" s="67">
        <f t="shared" si="9"/>
        <v>1.0660112897441945</v>
      </c>
      <c r="I81" s="67">
        <f t="shared" si="10"/>
        <v>1.0893875668359903</v>
      </c>
      <c r="J81" s="46"/>
      <c r="K81" s="67">
        <f t="shared" si="40"/>
        <v>1.1856629707582318</v>
      </c>
      <c r="L81" s="67">
        <f t="shared" si="41"/>
        <v>341.64878502398449</v>
      </c>
      <c r="M81" s="67">
        <f t="shared" si="42"/>
        <v>1.7961994775191052</v>
      </c>
      <c r="N81" s="67">
        <f t="shared" si="43"/>
        <v>182825.48879822242</v>
      </c>
      <c r="O81" s="67">
        <f t="shared" si="44"/>
        <v>0.52951988894078827</v>
      </c>
      <c r="P81" s="128">
        <f>DATOS!$J$12*O81*$B$16</f>
        <v>240257.0698028811</v>
      </c>
      <c r="Q81" s="67">
        <f t="shared" si="45"/>
        <v>1.1518264272912875</v>
      </c>
      <c r="R81" s="67"/>
      <c r="S81" s="67">
        <f t="shared" si="46"/>
        <v>1.5276320115681039</v>
      </c>
      <c r="T81" s="67"/>
      <c r="U81" s="67">
        <f t="shared" si="47"/>
        <v>0.50918526953856846</v>
      </c>
      <c r="V81" s="128">
        <f>DATOS!$J$12*U81*$B$16</f>
        <v>231030.71933867698</v>
      </c>
      <c r="W81" s="49">
        <f t="shared" si="48"/>
        <v>1.1179898838243432</v>
      </c>
      <c r="X81" s="67"/>
      <c r="Y81" s="52">
        <f t="shared" si="49"/>
        <v>1.2924987149784974</v>
      </c>
      <c r="Z81" s="67"/>
      <c r="AA81" s="67">
        <f t="shared" si="50"/>
        <v>0.4796879814879062</v>
      </c>
      <c r="AB81" s="128">
        <f>DATOS!$J$12*AA81*$B$16</f>
        <v>217647.02565276122</v>
      </c>
      <c r="AC81" s="11">
        <f t="shared" si="51"/>
        <v>1.0841533403573989</v>
      </c>
      <c r="AD81" s="67"/>
      <c r="AE81" s="11">
        <f t="shared" si="52"/>
        <v>1.0875227753267882</v>
      </c>
      <c r="AF81" s="67"/>
      <c r="AG81" s="11">
        <f t="shared" si="53"/>
        <v>0.44392735085792562</v>
      </c>
      <c r="AH81" s="11">
        <f>DATOS!$J$12*AG81*$B$16</f>
        <v>201421.48906970941</v>
      </c>
      <c r="AI81" s="11">
        <f t="shared" si="54"/>
        <v>1.0503167968904545</v>
      </c>
      <c r="AJ81" s="67"/>
      <c r="AK81" s="11">
        <f t="shared" si="55"/>
        <v>0.90965656249661575</v>
      </c>
      <c r="AL81" s="67"/>
      <c r="AM81" s="11">
        <f t="shared" si="56"/>
        <v>0.40431509114761999</v>
      </c>
      <c r="AN81" s="128">
        <f>DATOS!$J$12*AM81*$B$16</f>
        <v>183448.36729461217</v>
      </c>
      <c r="AO81" s="11">
        <f t="shared" si="57"/>
        <v>1.0164802534235102</v>
      </c>
      <c r="AP81" s="67"/>
      <c r="AQ81" s="11">
        <f t="shared" si="58"/>
        <v>0.75607242899927785</v>
      </c>
      <c r="AR81" s="67"/>
      <c r="AS81" s="11">
        <f t="shared" si="59"/>
        <v>0.36282680949470708</v>
      </c>
      <c r="AT81" s="128">
        <f>DATOS!$J$12*AS81*$B$16</f>
        <v>164624.04513171015</v>
      </c>
      <c r="AU81" s="11">
        <f t="shared" si="60"/>
        <v>0.98264370995656614</v>
      </c>
      <c r="AV81" s="67"/>
      <c r="AW81" s="11">
        <f t="shared" si="61"/>
        <v>0.62415358796401332</v>
      </c>
      <c r="AX81" s="67"/>
      <c r="AY81" s="11">
        <f t="shared" si="62"/>
        <v>0.30838534284809993</v>
      </c>
      <c r="AZ81" s="128">
        <f>DATOS!$J$12*AY81*$B$16</f>
        <v>139922.52300673528</v>
      </c>
      <c r="BA81" s="11">
        <f t="shared" si="64"/>
        <v>0.94880716648962182</v>
      </c>
      <c r="BB81" s="67"/>
      <c r="BC81" s="11">
        <f t="shared" si="65"/>
        <v>0.51148507076663374</v>
      </c>
      <c r="BD81" s="67"/>
      <c r="BE81" s="11">
        <f t="shared" si="66"/>
        <v>0.24989560600608887</v>
      </c>
      <c r="BF81" s="128">
        <f>DATOS!$J$12*BE81*$B$16</f>
        <v>113384.19445535092</v>
      </c>
      <c r="BG81" s="67">
        <f t="shared" si="63"/>
        <v>1143957.2928827344</v>
      </c>
    </row>
    <row r="82" spans="1:59">
      <c r="A82" s="41">
        <f t="shared" si="39"/>
        <v>330</v>
      </c>
      <c r="B82" s="67">
        <f t="shared" si="37"/>
        <v>0.96630960409782407</v>
      </c>
      <c r="C82" s="67">
        <f t="shared" si="4"/>
        <v>0.98308482531759811</v>
      </c>
      <c r="D82" s="67">
        <f t="shared" si="5"/>
        <v>1.0007651779706619</v>
      </c>
      <c r="E82" s="67">
        <f t="shared" si="6"/>
        <v>1.019435100234519</v>
      </c>
      <c r="F82" s="67">
        <f t="shared" si="7"/>
        <v>1.0391904863969044</v>
      </c>
      <c r="G82" s="67">
        <f t="shared" si="8"/>
        <v>1.0601407659750164</v>
      </c>
      <c r="H82" s="67">
        <f t="shared" si="9"/>
        <v>1.0824114634325666</v>
      </c>
      <c r="I82" s="67">
        <f t="shared" si="10"/>
        <v>1.1061473755565439</v>
      </c>
      <c r="J82" s="46"/>
      <c r="K82" s="67">
        <f t="shared" si="40"/>
        <v>1.1914196214491972</v>
      </c>
      <c r="L82" s="67">
        <f t="shared" si="41"/>
        <v>343.30756392058618</v>
      </c>
      <c r="M82" s="67">
        <f t="shared" si="42"/>
        <v>1.8263689886018792</v>
      </c>
      <c r="N82" s="67">
        <f t="shared" si="43"/>
        <v>185896.28114592415</v>
      </c>
      <c r="O82" s="67">
        <f t="shared" si="44"/>
        <v>0.5213982331516025</v>
      </c>
      <c r="P82" s="128">
        <f>DATOS!$J$12*O82*$B$16</f>
        <v>236572.06143471462</v>
      </c>
      <c r="Q82" s="67">
        <f t="shared" si="45"/>
        <v>1.1575830779822527</v>
      </c>
      <c r="R82" s="67"/>
      <c r="S82" s="67">
        <f t="shared" si="46"/>
        <v>1.554048927742816</v>
      </c>
      <c r="T82" s="67"/>
      <c r="U82" s="67">
        <f t="shared" si="47"/>
        <v>0.50316067082834848</v>
      </c>
      <c r="V82" s="128">
        <f>DATOS!$J$12*U82*$B$16</f>
        <v>228297.20080030622</v>
      </c>
      <c r="W82" s="49">
        <f t="shared" si="48"/>
        <v>1.1237465345153084</v>
      </c>
      <c r="X82" s="67"/>
      <c r="Y82" s="52">
        <f t="shared" si="49"/>
        <v>1.3155302380752194</v>
      </c>
      <c r="Z82" s="67"/>
      <c r="AA82" s="67">
        <f t="shared" si="50"/>
        <v>0.47538285129491648</v>
      </c>
      <c r="AB82" s="128">
        <f>DATOS!$J$12*AA82*$B$16</f>
        <v>215693.67510467014</v>
      </c>
      <c r="AC82" s="11">
        <f t="shared" si="51"/>
        <v>1.0899099910483643</v>
      </c>
      <c r="AD82" s="67"/>
      <c r="AE82" s="11">
        <f t="shared" si="52"/>
        <v>1.1075104862178271</v>
      </c>
      <c r="AF82" s="67"/>
      <c r="AG82" s="11">
        <f t="shared" si="53"/>
        <v>0.4410124598350717</v>
      </c>
      <c r="AH82" s="11">
        <f>DATOS!$J$12*AG82*$B$16</f>
        <v>200098.92651715546</v>
      </c>
      <c r="AI82" s="11">
        <f t="shared" si="54"/>
        <v>1.05607344758142</v>
      </c>
      <c r="AJ82" s="67"/>
      <c r="AK82" s="11">
        <f t="shared" si="55"/>
        <v>0.92691744619514804</v>
      </c>
      <c r="AL82" s="67"/>
      <c r="AM82" s="11">
        <f t="shared" si="56"/>
        <v>0.40250556742994681</v>
      </c>
      <c r="AN82" s="128">
        <f>DATOS!$J$12*AM82*$B$16</f>
        <v>182627.33889657291</v>
      </c>
      <c r="AO82" s="11">
        <f t="shared" si="57"/>
        <v>1.0222369041144754</v>
      </c>
      <c r="AP82" s="67"/>
      <c r="AQ82" s="11">
        <f t="shared" si="58"/>
        <v>0.77089989113997237</v>
      </c>
      <c r="AR82" s="67"/>
      <c r="AS82" s="11">
        <f t="shared" si="59"/>
        <v>0.36187828424022084</v>
      </c>
      <c r="AT82" s="128">
        <f>DATOS!$J$12*AS82*$B$16</f>
        <v>164193.67433160148</v>
      </c>
      <c r="AU82" s="11">
        <f t="shared" si="60"/>
        <v>0.98840036064753145</v>
      </c>
      <c r="AV82" s="67"/>
      <c r="AW82" s="11">
        <f t="shared" si="61"/>
        <v>0.6368184624483646</v>
      </c>
      <c r="AX82" s="67"/>
      <c r="AY82" s="11">
        <f t="shared" si="62"/>
        <v>0.31217406128068342</v>
      </c>
      <c r="AZ82" s="128">
        <f>DATOS!$J$12*AY82*$B$16</f>
        <v>141641.56398693623</v>
      </c>
      <c r="BA82" s="11">
        <f t="shared" si="64"/>
        <v>0.95456381718058703</v>
      </c>
      <c r="BB82" s="67"/>
      <c r="BC82" s="11">
        <f t="shared" si="65"/>
        <v>0.52223661834247614</v>
      </c>
      <c r="BD82" s="67"/>
      <c r="BE82" s="11">
        <f t="shared" si="66"/>
        <v>0.25310179347299927</v>
      </c>
      <c r="BF82" s="128">
        <f>DATOS!$J$12*BE82*$B$16</f>
        <v>114838.92584906587</v>
      </c>
      <c r="BG82" s="67">
        <f t="shared" si="63"/>
        <v>1142673.7342046064</v>
      </c>
    </row>
    <row r="83" spans="1:59">
      <c r="A83" s="41">
        <f t="shared" si="39"/>
        <v>335</v>
      </c>
      <c r="B83" s="67">
        <f t="shared" si="37"/>
        <v>0.9809506587053668</v>
      </c>
      <c r="C83" s="67">
        <f t="shared" si="4"/>
        <v>0.99798004994362233</v>
      </c>
      <c r="D83" s="67">
        <f t="shared" si="5"/>
        <v>1.0159282867277932</v>
      </c>
      <c r="E83" s="67">
        <f t="shared" si="6"/>
        <v>1.0348810866017089</v>
      </c>
      <c r="F83" s="67">
        <f t="shared" si="7"/>
        <v>1.0549357967968573</v>
      </c>
      <c r="G83" s="67">
        <f t="shared" si="8"/>
        <v>1.0762035048534258</v>
      </c>
      <c r="H83" s="67">
        <f t="shared" si="9"/>
        <v>1.0988116371209389</v>
      </c>
      <c r="I83" s="67">
        <f t="shared" si="10"/>
        <v>1.1229071842770977</v>
      </c>
      <c r="J83" s="46"/>
      <c r="K83" s="67">
        <f t="shared" si="40"/>
        <v>1.1972641599369711</v>
      </c>
      <c r="L83" s="67">
        <f t="shared" si="41"/>
        <v>344.99166768583819</v>
      </c>
      <c r="M83" s="67">
        <f t="shared" si="42"/>
        <v>1.857364991670559</v>
      </c>
      <c r="N83" s="67">
        <f t="shared" si="43"/>
        <v>189051.19766981134</v>
      </c>
      <c r="O83" s="67">
        <f t="shared" si="44"/>
        <v>0.51292056736836344</v>
      </c>
      <c r="P83" s="128">
        <f>DATOS!$J$12*O83*$B$16</f>
        <v>232725.52198947591</v>
      </c>
      <c r="Q83" s="67">
        <f t="shared" si="45"/>
        <v>1.1634276164700268</v>
      </c>
      <c r="R83" s="67"/>
      <c r="S83" s="67">
        <f t="shared" si="46"/>
        <v>1.581198955784483</v>
      </c>
      <c r="T83" s="67"/>
      <c r="U83" s="67">
        <f t="shared" si="47"/>
        <v>0.49684973494285284</v>
      </c>
      <c r="V83" s="128">
        <f>DATOS!$J$12*U83*$B$16</f>
        <v>225433.76357116643</v>
      </c>
      <c r="W83" s="49">
        <f t="shared" si="48"/>
        <v>1.1295910730030825</v>
      </c>
      <c r="X83" s="67"/>
      <c r="Y83" s="52">
        <f t="shared" si="49"/>
        <v>1.3392096352836493</v>
      </c>
      <c r="Z83" s="67"/>
      <c r="AA83" s="67">
        <f t="shared" si="50"/>
        <v>0.47085033890318245</v>
      </c>
      <c r="AB83" s="128">
        <f>DATOS!$J$12*AA83*$B$16</f>
        <v>213637.15528581769</v>
      </c>
      <c r="AC83" s="11">
        <f t="shared" si="51"/>
        <v>1.0957545295361382</v>
      </c>
      <c r="AD83" s="67"/>
      <c r="AE83" s="11">
        <f t="shared" si="52"/>
        <v>1.1280684825661553</v>
      </c>
      <c r="AF83" s="67"/>
      <c r="AG83" s="11">
        <f t="shared" si="53"/>
        <v>0.43791967997672876</v>
      </c>
      <c r="AH83" s="11">
        <f>DATOS!$J$12*AG83*$B$16</f>
        <v>198695.65113160346</v>
      </c>
      <c r="AI83" s="11">
        <f t="shared" si="54"/>
        <v>1.0619179860691939</v>
      </c>
      <c r="AJ83" s="67"/>
      <c r="AK83" s="11">
        <f t="shared" si="55"/>
        <v>0.94467819904760109</v>
      </c>
      <c r="AL83" s="67"/>
      <c r="AM83" s="11">
        <f t="shared" si="56"/>
        <v>0.40055933816799477</v>
      </c>
      <c r="AN83" s="128">
        <f>DATOS!$J$12*AM83*$B$16</f>
        <v>181744.28360553074</v>
      </c>
      <c r="AO83" s="11">
        <f t="shared" si="57"/>
        <v>1.0280814426022493</v>
      </c>
      <c r="AP83" s="67"/>
      <c r="AQ83" s="11">
        <f t="shared" si="58"/>
        <v>0.78616351813586083</v>
      </c>
      <c r="AR83" s="67"/>
      <c r="AS83" s="11">
        <f t="shared" si="59"/>
        <v>0.36082697888520049</v>
      </c>
      <c r="AT83" s="128">
        <f>DATOS!$J$12*AS83*$B$16</f>
        <v>163716.66950262233</v>
      </c>
      <c r="AU83" s="11">
        <f t="shared" si="60"/>
        <v>0.99424489913530534</v>
      </c>
      <c r="AV83" s="67"/>
      <c r="AW83" s="11">
        <f t="shared" si="61"/>
        <v>0.64986206543907898</v>
      </c>
      <c r="AX83" s="67"/>
      <c r="AY83" s="11">
        <f t="shared" si="62"/>
        <v>0.31606778431297439</v>
      </c>
      <c r="AZ83" s="128">
        <f>DATOS!$J$12*AY83*$B$16</f>
        <v>143408.24830966018</v>
      </c>
      <c r="BA83" s="11">
        <f t="shared" si="64"/>
        <v>0.96040835566836102</v>
      </c>
      <c r="BB83" s="67"/>
      <c r="BC83" s="11">
        <f t="shared" si="65"/>
        <v>0.53331529814890399</v>
      </c>
      <c r="BD83" s="67"/>
      <c r="BE83" s="11">
        <f t="shared" si="66"/>
        <v>0.2563967462702002</v>
      </c>
      <c r="BF83" s="128">
        <f>DATOS!$J$12*BE83*$B$16</f>
        <v>116333.93240260218</v>
      </c>
      <c r="BG83" s="67">
        <f t="shared" si="63"/>
        <v>1141354.6393916807</v>
      </c>
    </row>
    <row r="84" spans="1:59">
      <c r="A84" s="41">
        <f t="shared" si="39"/>
        <v>340</v>
      </c>
      <c r="B84" s="67">
        <f t="shared" ref="B84" si="67">A84/SQRT(1.41*287.05*C$7)</f>
        <v>0.99559171331290963</v>
      </c>
      <c r="C84" s="67">
        <f t="shared" ref="C84" si="68">$A84/SQRT(1.41*287.05*C$8)</f>
        <v>1.0128752745696465</v>
      </c>
      <c r="D84" s="67">
        <f t="shared" ref="D84" si="69">$A84/SQRT(1.41*287.05*C$9)</f>
        <v>1.0310913954849243</v>
      </c>
      <c r="E84" s="67">
        <f t="shared" ref="E84" si="70">$A84/SQRT(1.41*287.05*$C$10)</f>
        <v>1.0503270729688985</v>
      </c>
      <c r="F84" s="67">
        <f t="shared" ref="F84" si="71">$A84/SQRT(1.41*287.05*$C$11)</f>
        <v>1.0706811071968105</v>
      </c>
      <c r="G84" s="67">
        <f t="shared" ref="G84" si="72">$A84/SQRT(1.41*287.05*$C$12)</f>
        <v>1.0922662437318351</v>
      </c>
      <c r="H84" s="67">
        <f t="shared" ref="H84" si="73">$A84/SQRT(1.41*287.05*$C$13)</f>
        <v>1.115211810809311</v>
      </c>
      <c r="I84" s="67">
        <f t="shared" ref="I84" si="74">$A84/SQRT(1.41*287.05*$C$14)</f>
        <v>1.1396669929976513</v>
      </c>
      <c r="J84" s="46"/>
      <c r="K84" s="67">
        <f t="shared" si="40"/>
        <v>1.2031965862215537</v>
      </c>
      <c r="L84" s="67">
        <f t="shared" si="41"/>
        <v>346.70109631974066</v>
      </c>
      <c r="M84" s="67">
        <f t="shared" si="42"/>
        <v>1.8892067822739391</v>
      </c>
      <c r="N84" s="67">
        <f t="shared" si="43"/>
        <v>192292.2023600667</v>
      </c>
      <c r="O84" s="67">
        <f t="shared" si="44"/>
        <v>0.5040679533544643</v>
      </c>
      <c r="P84" s="128">
        <f>DATOS!$J$12*O84*$B$16</f>
        <v>228708.8586922203</v>
      </c>
      <c r="Q84" s="67">
        <f t="shared" si="45"/>
        <v>1.1693600427546091</v>
      </c>
      <c r="R84" s="67"/>
      <c r="S84" s="67">
        <f t="shared" si="46"/>
        <v>1.609099558341387</v>
      </c>
      <c r="T84" s="67"/>
      <c r="U84" s="67">
        <f t="shared" si="47"/>
        <v>0.49023615556660627</v>
      </c>
      <c r="V84" s="128">
        <f>DATOS!$J$12*U84*$B$16</f>
        <v>222433.00904799977</v>
      </c>
      <c r="W84" s="49">
        <f t="shared" si="48"/>
        <v>1.1355234992876648</v>
      </c>
      <c r="X84" s="67"/>
      <c r="Y84" s="52">
        <f t="shared" si="49"/>
        <v>1.3635526596097201</v>
      </c>
      <c r="Z84" s="67"/>
      <c r="AA84" s="67">
        <f t="shared" si="50"/>
        <v>0.46607648753790348</v>
      </c>
      <c r="AB84" s="128">
        <f>DATOS!$J$12*AA84*$B$16</f>
        <v>211471.13364120925</v>
      </c>
      <c r="AC84" s="11">
        <f t="shared" si="51"/>
        <v>1.1016869558207207</v>
      </c>
      <c r="AD84" s="67"/>
      <c r="AE84" s="11">
        <f t="shared" si="52"/>
        <v>1.1492109262832779</v>
      </c>
      <c r="AF84" s="67"/>
      <c r="AG84" s="11">
        <f t="shared" si="53"/>
        <v>0.43463714209645077</v>
      </c>
      <c r="AH84" s="11">
        <f>DATOS!$J$12*AG84*$B$16</f>
        <v>197206.27755167973</v>
      </c>
      <c r="AI84" s="11">
        <f t="shared" si="54"/>
        <v>1.0678504123537764</v>
      </c>
      <c r="AJ84" s="67"/>
      <c r="AK84" s="11">
        <f t="shared" si="55"/>
        <v>0.96295150574616917</v>
      </c>
      <c r="AL84" s="67"/>
      <c r="AM84" s="11">
        <f t="shared" si="56"/>
        <v>0.39846637959808068</v>
      </c>
      <c r="AN84" s="128">
        <f>DATOS!$J$12*AM84*$B$16</f>
        <v>180794.65337684896</v>
      </c>
      <c r="AO84" s="11">
        <f t="shared" si="57"/>
        <v>1.0340138688868319</v>
      </c>
      <c r="AP84" s="67"/>
      <c r="AQ84" s="11">
        <f t="shared" si="58"/>
        <v>0.80187462670044662</v>
      </c>
      <c r="AR84" s="67"/>
      <c r="AS84" s="11">
        <f t="shared" si="59"/>
        <v>0.35966449204517142</v>
      </c>
      <c r="AT84" s="128">
        <f>DATOS!$J$12*AS84*$B$16</f>
        <v>163189.218716159</v>
      </c>
      <c r="AU84" s="11">
        <f t="shared" si="60"/>
        <v>1.0001773254198878</v>
      </c>
      <c r="AV84" s="67"/>
      <c r="AW84" s="11">
        <f t="shared" si="61"/>
        <v>0.66329445031633127</v>
      </c>
      <c r="AX84" s="67"/>
      <c r="AY84" s="11">
        <f t="shared" si="62"/>
        <v>0.31993277887910243</v>
      </c>
      <c r="AZ84" s="128">
        <f>DATOS!$J$12*AY84*$B$16</f>
        <v>145161.89777336488</v>
      </c>
      <c r="BA84" s="11">
        <f t="shared" si="64"/>
        <v>0.96634078195294359</v>
      </c>
      <c r="BB84" s="67"/>
      <c r="BC84" s="11">
        <f t="shared" si="65"/>
        <v>0.54473000032309871</v>
      </c>
      <c r="BD84" s="67"/>
      <c r="BE84" s="11">
        <f t="shared" si="66"/>
        <v>0.25978151065087218</v>
      </c>
      <c r="BF84" s="128">
        <f>DATOS!$J$12*BE84*$B$16</f>
        <v>117869.68882848472</v>
      </c>
      <c r="BG84" s="67">
        <f t="shared" si="63"/>
        <v>1139999.5895890512</v>
      </c>
    </row>
    <row r="85" spans="1:59" ht="15" customHeight="1">
      <c r="A85" s="41"/>
      <c r="G85" s="67"/>
      <c r="H85" s="67"/>
      <c r="I85" s="67"/>
      <c r="J85" s="46"/>
      <c r="K85" s="67"/>
      <c r="L85" s="67"/>
      <c r="M85" s="67"/>
      <c r="N85" s="67"/>
      <c r="O85" s="67"/>
      <c r="P85" s="115"/>
      <c r="Q85" s="67"/>
      <c r="R85" s="67"/>
      <c r="S85" s="67"/>
      <c r="T85" s="67"/>
      <c r="U85" s="67"/>
      <c r="V85" s="67"/>
      <c r="W85" s="49"/>
      <c r="X85" s="67"/>
      <c r="Y85" s="52"/>
      <c r="Z85" s="67"/>
      <c r="AA85" s="67"/>
      <c r="AB85" s="67"/>
      <c r="AC85" s="11"/>
      <c r="AD85" s="67"/>
      <c r="AE85" s="11"/>
      <c r="AF85" s="67"/>
      <c r="AG85" s="11"/>
      <c r="AH85" s="67"/>
      <c r="AI85" s="11"/>
      <c r="AJ85" s="67"/>
      <c r="AK85" s="11"/>
      <c r="AL85" s="67"/>
      <c r="AM85" s="11"/>
      <c r="AN85" s="67"/>
      <c r="AO85" s="11"/>
      <c r="AP85" s="67"/>
      <c r="AQ85" s="11"/>
      <c r="AR85" s="67"/>
      <c r="AS85" s="11"/>
      <c r="AT85" s="67"/>
      <c r="AU85" s="11"/>
      <c r="AV85" s="67"/>
      <c r="AW85" s="11"/>
      <c r="AX85" s="67"/>
      <c r="AY85" s="11"/>
      <c r="AZ85" s="67"/>
      <c r="BA85" s="11"/>
      <c r="BB85" s="67"/>
      <c r="BC85" s="11"/>
      <c r="BD85" s="67"/>
      <c r="BE85" s="11"/>
      <c r="BF85" s="67"/>
      <c r="BG85" s="67"/>
    </row>
    <row r="86" spans="1:59" ht="15" customHeight="1">
      <c r="A86" s="41"/>
      <c r="G86" s="67"/>
      <c r="H86" s="67"/>
      <c r="I86" s="67"/>
      <c r="J86" s="46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49"/>
      <c r="X86" s="67"/>
      <c r="Y86" s="52"/>
      <c r="Z86" s="67"/>
      <c r="AA86" s="67"/>
      <c r="AB86" s="67"/>
      <c r="AC86" s="67"/>
      <c r="AD86" s="67"/>
      <c r="AE86" s="67"/>
      <c r="AF86" s="67"/>
      <c r="AG86" s="67"/>
      <c r="AH86" s="11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11"/>
      <c r="BB86" s="67"/>
      <c r="BC86" s="67"/>
      <c r="BD86" s="67"/>
      <c r="BE86" s="67"/>
      <c r="BF86" s="67"/>
      <c r="BG86" s="67"/>
    </row>
    <row r="87" spans="1:59" ht="15" customHeight="1">
      <c r="A87" s="41"/>
      <c r="G87" s="67"/>
      <c r="H87" s="67"/>
      <c r="I87" s="67"/>
      <c r="J87" s="46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49"/>
      <c r="X87" s="67"/>
      <c r="Y87" s="52"/>
      <c r="Z87" s="67"/>
      <c r="AA87" s="67"/>
      <c r="AB87" s="67"/>
      <c r="AC87" s="11"/>
      <c r="AD87" s="67"/>
      <c r="AE87" s="11"/>
      <c r="AF87" s="67"/>
      <c r="AG87" s="11"/>
      <c r="AH87" s="11"/>
      <c r="AI87" s="11"/>
      <c r="AJ87" s="67"/>
      <c r="AK87" s="11"/>
      <c r="AL87" s="67"/>
      <c r="AM87" s="11"/>
      <c r="AN87" s="67"/>
      <c r="AO87" s="11"/>
      <c r="AP87" s="67"/>
      <c r="AQ87" s="11"/>
      <c r="AR87" s="67"/>
      <c r="AS87" s="11"/>
      <c r="AT87" s="67"/>
      <c r="AU87" s="11"/>
      <c r="AV87" s="67"/>
      <c r="AW87" s="11"/>
      <c r="AX87" s="67"/>
      <c r="AY87" s="11"/>
      <c r="AZ87" s="67"/>
      <c r="BA87" s="11"/>
      <c r="BB87" s="67"/>
      <c r="BC87" s="11"/>
      <c r="BD87" s="67"/>
      <c r="BE87" s="11"/>
      <c r="BF87" s="67"/>
      <c r="BG87" s="67"/>
    </row>
    <row r="88" spans="1:59" ht="15" customHeight="1">
      <c r="A88" s="41"/>
      <c r="G88" s="67"/>
      <c r="H88" s="67"/>
      <c r="I88" s="67"/>
      <c r="J88" s="46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49"/>
      <c r="X88" s="67"/>
      <c r="Y88" s="52"/>
      <c r="Z88" s="67"/>
      <c r="AA88" s="67"/>
      <c r="AB88" s="67"/>
      <c r="AC88" s="11"/>
      <c r="AD88" s="67"/>
      <c r="AE88" s="11"/>
      <c r="AF88" s="67"/>
      <c r="AG88" s="11"/>
      <c r="AH88" s="11"/>
      <c r="AI88" s="11"/>
      <c r="AJ88" s="67"/>
      <c r="AK88" s="11"/>
      <c r="AL88" s="67"/>
      <c r="AM88" s="11"/>
      <c r="AN88" s="67"/>
      <c r="AO88" s="11"/>
      <c r="AP88" s="67"/>
      <c r="AQ88" s="11"/>
      <c r="AR88" s="67"/>
      <c r="AS88" s="11"/>
      <c r="AT88" s="67"/>
      <c r="AU88" s="11"/>
      <c r="AV88" s="67"/>
      <c r="AW88" s="11"/>
      <c r="AX88" s="67"/>
      <c r="AY88" s="11"/>
      <c r="AZ88" s="67"/>
      <c r="BA88" s="11"/>
      <c r="BB88" s="67"/>
      <c r="BC88" s="11"/>
      <c r="BD88" s="67"/>
      <c r="BE88" s="11"/>
      <c r="BF88" s="67"/>
      <c r="BG88" s="67"/>
    </row>
    <row r="89" spans="1:59" ht="15" customHeight="1">
      <c r="A89" s="41"/>
    </row>
    <row r="90" spans="1:59" ht="15" customHeight="1">
      <c r="A90" s="41"/>
    </row>
    <row r="91" spans="1:59" ht="15" customHeight="1">
      <c r="A91" s="41"/>
    </row>
    <row r="92" spans="1:59" ht="15" customHeight="1">
      <c r="A92" s="41"/>
    </row>
    <row r="93" spans="1:59" ht="15" customHeight="1">
      <c r="A93" s="41"/>
    </row>
    <row r="94" spans="1:59" ht="15" customHeight="1">
      <c r="A94" s="41"/>
    </row>
    <row r="95" spans="1:59" ht="15" customHeight="1">
      <c r="A95" s="41"/>
    </row>
    <row r="96" spans="1:59" ht="15" customHeight="1">
      <c r="A96" s="41"/>
    </row>
    <row r="97" spans="1:1" ht="15" customHeight="1">
      <c r="A97" s="41"/>
    </row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R185"/>
  <sheetViews>
    <sheetView topLeftCell="A4" zoomScale="70" zoomScaleNormal="70" workbookViewId="0">
      <selection activeCell="F7" sqref="F7"/>
    </sheetView>
  </sheetViews>
  <sheetFormatPr baseColWidth="10" defaultColWidth="12.5703125" defaultRowHeight="15" customHeight="1"/>
  <cols>
    <col min="2" max="2" width="13" customWidth="1"/>
  </cols>
  <sheetData>
    <row r="1" spans="1:70" s="66" customFormat="1" ht="15" customHeight="1">
      <c r="A1" s="68" t="s">
        <v>133</v>
      </c>
      <c r="J1" s="11" t="s">
        <v>66</v>
      </c>
      <c r="K1">
        <f>POLAR!B10</f>
        <v>1.3125598034927405E-2</v>
      </c>
      <c r="L1" s="68" t="s">
        <v>93</v>
      </c>
      <c r="M1" s="66">
        <f>POLAR!I3</f>
        <v>37.56</v>
      </c>
    </row>
    <row r="2" spans="1:70" s="66" customFormat="1" ht="15" customHeight="1">
      <c r="J2" s="45" t="s">
        <v>71</v>
      </c>
      <c r="K2" s="45">
        <f>1/(PI()*DATOS!B$6*DATOS!J$18)</f>
        <v>6.2805409961308373E-2</v>
      </c>
    </row>
    <row r="3" spans="1:70" s="66" customFormat="1" ht="15" customHeight="1">
      <c r="J3" s="45" t="s">
        <v>77</v>
      </c>
      <c r="K3">
        <f>DATOS!B5</f>
        <v>358.7</v>
      </c>
    </row>
    <row r="4" spans="1:70">
      <c r="A4" s="73" t="s">
        <v>132</v>
      </c>
      <c r="B4" s="43"/>
      <c r="C4" s="43">
        <f>DATOS!M12*9.81</f>
        <v>1913391.4500000002</v>
      </c>
      <c r="D4" s="7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66"/>
      <c r="BP4" s="66"/>
      <c r="BQ4" s="66"/>
      <c r="BR4" s="66"/>
    </row>
    <row r="5" spans="1:70">
      <c r="A5" s="44"/>
      <c r="B5" s="44"/>
      <c r="C5" s="44" t="s">
        <v>64</v>
      </c>
      <c r="D5" s="44" t="s">
        <v>65</v>
      </c>
      <c r="E5" s="74">
        <f>DATOS!B24</f>
        <v>1.2307834756847218</v>
      </c>
      <c r="F5" s="44"/>
      <c r="G5" s="68" t="s">
        <v>130</v>
      </c>
      <c r="K5" s="44" t="s">
        <v>78</v>
      </c>
      <c r="L5" s="44" t="s">
        <v>65</v>
      </c>
      <c r="M5" s="74">
        <f>DATOS!C24</f>
        <v>1.0632293336293623</v>
      </c>
      <c r="N5" s="44"/>
      <c r="O5" s="68" t="s">
        <v>130</v>
      </c>
      <c r="P5" s="66"/>
      <c r="Q5" s="66"/>
      <c r="R5" s="66"/>
      <c r="S5" s="47" t="s">
        <v>80</v>
      </c>
      <c r="T5" s="44" t="s">
        <v>65</v>
      </c>
      <c r="U5" s="74">
        <f>DATOS!D24</f>
        <v>0.91371108984015903</v>
      </c>
      <c r="V5" s="44"/>
      <c r="W5" s="68" t="s">
        <v>130</v>
      </c>
      <c r="X5" s="66"/>
      <c r="Y5" s="66"/>
      <c r="Z5" s="66"/>
      <c r="AA5" s="47" t="s">
        <v>82</v>
      </c>
      <c r="AB5" s="47" t="s">
        <v>65</v>
      </c>
      <c r="AC5" s="75">
        <f>DATOS!E24</f>
        <v>0.78083687721425932</v>
      </c>
      <c r="AD5" s="47"/>
      <c r="AE5" s="68" t="s">
        <v>130</v>
      </c>
      <c r="AF5" s="66"/>
      <c r="AG5" s="66"/>
      <c r="AH5" s="66"/>
      <c r="AI5" s="44" t="s">
        <v>83</v>
      </c>
      <c r="AJ5" s="44" t="s">
        <v>65</v>
      </c>
      <c r="AK5" s="74">
        <f>DATOS!F24</f>
        <v>0.66327678178020855</v>
      </c>
      <c r="AL5" s="44"/>
      <c r="AM5" s="68" t="s">
        <v>130</v>
      </c>
      <c r="AN5" s="66"/>
      <c r="AO5" s="66"/>
      <c r="AP5" s="66"/>
      <c r="AQ5" s="44" t="s">
        <v>84</v>
      </c>
      <c r="AR5" s="44" t="s">
        <v>65</v>
      </c>
      <c r="AS5" s="74">
        <f>DATOS!G24</f>
        <v>0.55976225964731741</v>
      </c>
      <c r="AT5" s="44"/>
      <c r="AU5" s="68" t="s">
        <v>130</v>
      </c>
      <c r="AV5" s="66"/>
      <c r="AW5" s="66"/>
      <c r="AX5" s="66"/>
      <c r="AY5" s="44" t="s">
        <v>85</v>
      </c>
      <c r="AZ5" s="44" t="s">
        <v>65</v>
      </c>
      <c r="BA5" s="74">
        <f>DATOS!H24</f>
        <v>0.46908553738870118</v>
      </c>
      <c r="BB5" s="44"/>
      <c r="BC5" s="68" t="s">
        <v>130</v>
      </c>
      <c r="BD5" s="66"/>
      <c r="BE5" s="66"/>
      <c r="BF5" s="66"/>
      <c r="BG5" s="44" t="s">
        <v>86</v>
      </c>
      <c r="BH5" s="44" t="s">
        <v>65</v>
      </c>
      <c r="BI5" s="74">
        <f>DATOS!I24</f>
        <v>0.39009899471001425</v>
      </c>
      <c r="BJ5" s="44"/>
      <c r="BK5" s="68" t="s">
        <v>130</v>
      </c>
      <c r="BL5" s="66"/>
      <c r="BM5" s="66"/>
      <c r="BN5" s="66"/>
    </row>
    <row r="6" spans="1:70">
      <c r="A6" t="s">
        <v>52</v>
      </c>
      <c r="B6" s="44"/>
      <c r="C6" s="45" t="s">
        <v>67</v>
      </c>
      <c r="D6" t="s">
        <v>68</v>
      </c>
      <c r="E6" s="45" t="s">
        <v>69</v>
      </c>
      <c r="F6" s="70" t="s">
        <v>128</v>
      </c>
      <c r="G6" s="71" t="s">
        <v>129</v>
      </c>
      <c r="H6" s="68" t="s">
        <v>127</v>
      </c>
      <c r="I6" t="s">
        <v>124</v>
      </c>
      <c r="J6" s="68" t="s">
        <v>131</v>
      </c>
      <c r="K6" s="45" t="s">
        <v>67</v>
      </c>
      <c r="L6" t="s">
        <v>68</v>
      </c>
      <c r="M6" s="45" t="s">
        <v>69</v>
      </c>
      <c r="N6" s="11" t="s">
        <v>70</v>
      </c>
      <c r="O6" s="71" t="s">
        <v>129</v>
      </c>
      <c r="P6" s="68" t="s">
        <v>127</v>
      </c>
      <c r="Q6" s="66" t="s">
        <v>124</v>
      </c>
      <c r="R6" s="68" t="s">
        <v>131</v>
      </c>
      <c r="S6" s="45" t="s">
        <v>67</v>
      </c>
      <c r="T6" t="s">
        <v>68</v>
      </c>
      <c r="U6" s="45" t="s">
        <v>69</v>
      </c>
      <c r="V6" s="11" t="s">
        <v>70</v>
      </c>
      <c r="W6" s="71" t="s">
        <v>129</v>
      </c>
      <c r="X6" s="68" t="s">
        <v>127</v>
      </c>
      <c r="Y6" s="66" t="s">
        <v>124</v>
      </c>
      <c r="Z6" s="68" t="s">
        <v>131</v>
      </c>
      <c r="AA6" s="45" t="s">
        <v>67</v>
      </c>
      <c r="AB6" t="s">
        <v>68</v>
      </c>
      <c r="AC6" s="45" t="s">
        <v>69</v>
      </c>
      <c r="AD6" s="11" t="s">
        <v>70</v>
      </c>
      <c r="AE6" s="71" t="s">
        <v>129</v>
      </c>
      <c r="AF6" s="68" t="s">
        <v>127</v>
      </c>
      <c r="AG6" s="66" t="s">
        <v>124</v>
      </c>
      <c r="AH6" s="68" t="s">
        <v>131</v>
      </c>
      <c r="AI6" s="45" t="s">
        <v>67</v>
      </c>
      <c r="AJ6" t="s">
        <v>68</v>
      </c>
      <c r="AK6" s="45" t="s">
        <v>69</v>
      </c>
      <c r="AL6" s="11" t="s">
        <v>70</v>
      </c>
      <c r="AM6" s="71" t="s">
        <v>129</v>
      </c>
      <c r="AN6" s="68" t="s">
        <v>127</v>
      </c>
      <c r="AO6" s="66" t="s">
        <v>124</v>
      </c>
      <c r="AP6" s="68" t="s">
        <v>131</v>
      </c>
      <c r="AQ6" s="45" t="s">
        <v>67</v>
      </c>
      <c r="AR6" t="s">
        <v>68</v>
      </c>
      <c r="AS6" s="45" t="s">
        <v>69</v>
      </c>
      <c r="AT6" s="11" t="s">
        <v>70</v>
      </c>
      <c r="AU6" s="71" t="s">
        <v>129</v>
      </c>
      <c r="AV6" s="68" t="s">
        <v>127</v>
      </c>
      <c r="AW6" s="66" t="s">
        <v>124</v>
      </c>
      <c r="AX6" s="68" t="s">
        <v>131</v>
      </c>
      <c r="AY6" s="45" t="s">
        <v>67</v>
      </c>
      <c r="AZ6" t="s">
        <v>68</v>
      </c>
      <c r="BA6" s="45" t="s">
        <v>69</v>
      </c>
      <c r="BB6" s="11" t="s">
        <v>70</v>
      </c>
      <c r="BC6" s="71" t="s">
        <v>129</v>
      </c>
      <c r="BD6" s="68" t="s">
        <v>127</v>
      </c>
      <c r="BE6" s="66" t="s">
        <v>124</v>
      </c>
      <c r="BF6" s="68" t="s">
        <v>131</v>
      </c>
      <c r="BG6" s="45" t="s">
        <v>67</v>
      </c>
      <c r="BH6" t="s">
        <v>68</v>
      </c>
      <c r="BI6" s="45" t="s">
        <v>69</v>
      </c>
      <c r="BJ6" s="11" t="s">
        <v>70</v>
      </c>
      <c r="BK6" s="71" t="s">
        <v>129</v>
      </c>
      <c r="BL6" s="68" t="s">
        <v>127</v>
      </c>
      <c r="BM6" s="66" t="s">
        <v>124</v>
      </c>
      <c r="BN6" s="68" t="s">
        <v>131</v>
      </c>
    </row>
    <row r="7" spans="1:70">
      <c r="A7" s="41">
        <f>EDisponible!A20</f>
        <v>20</v>
      </c>
      <c r="B7" s="44"/>
      <c r="C7">
        <f t="shared" ref="C7:C28" si="0">E$5*A7^2*K$3</f>
        <v>176592.81309124388</v>
      </c>
      <c r="D7">
        <f t="shared" ref="D7:D70" si="1">2*C$4/C7</f>
        <v>21.670094229841261</v>
      </c>
      <c r="E7">
        <f t="shared" ref="E7:E28" si="2">K$1+D7^(2)*K$2</f>
        <v>29.506105468725206</v>
      </c>
      <c r="F7">
        <f t="shared" ref="F7:F28" si="3">0.5*C7*E7</f>
        <v>2605283.0840445594</v>
      </c>
      <c r="G7">
        <f>EDisponible!B20</f>
        <v>5.8564218430171157E-2</v>
      </c>
      <c r="H7">
        <f>G7-0.8</f>
        <v>-0.74143578156982892</v>
      </c>
      <c r="I7">
        <f>IF(H7&lt;0, 0, 0.00035*(10*H7/((1/COS(M$1))-0.8))^(3/(1+1/(DATOS!E$6))))</f>
        <v>0</v>
      </c>
      <c r="J7">
        <f>0.5*C7*(E7+I7)</f>
        <v>2605283.0840445594</v>
      </c>
      <c r="K7">
        <f>M$5*A7^2*K$3</f>
        <v>152552.1447891409</v>
      </c>
      <c r="L7">
        <f t="shared" ref="L7:L28" si="4">2*C$4/K7</f>
        <v>25.085080942581424</v>
      </c>
      <c r="M7">
        <f t="shared" ref="M7:M28" si="5">K$1+L7^(2)*K$2</f>
        <v>39.534138631504597</v>
      </c>
      <c r="N7">
        <f>0.5*K7*M7</f>
        <v>3015508.8203136292</v>
      </c>
      <c r="O7" s="66">
        <f>EDisponible!C20</f>
        <v>5.9580898504096855E-2</v>
      </c>
      <c r="P7" s="66">
        <f>O7-0.8</f>
        <v>-0.74041910149590318</v>
      </c>
      <c r="Q7" s="66">
        <f>IF(P7&lt;0, 0, 0.00035*(10*P7/((1/COS(M$1))-0.8))^(3/(1+1/(DATOS!E$6))))</f>
        <v>0</v>
      </c>
      <c r="R7" s="66">
        <f>0.5*K7*(M7+Q7)</f>
        <v>3015508.8203136292</v>
      </c>
      <c r="S7">
        <f>U$5*A7^2*K$3</f>
        <v>131099.26717026602</v>
      </c>
      <c r="T7">
        <f t="shared" ref="T7:T28" si="6">2*C$4/S7</f>
        <v>29.189964082941376</v>
      </c>
      <c r="U7">
        <f t="shared" ref="U7:U28" si="7">K$1+T7^(2)*K$2</f>
        <v>53.526726575886684</v>
      </c>
      <c r="V7">
        <f>0.5*S7*U7</f>
        <v>3508657.3140609735</v>
      </c>
      <c r="W7" s="66">
        <f>EDisponible!D20</f>
        <v>6.0652435028524965E-2</v>
      </c>
      <c r="X7" s="66">
        <f>W7-0.8</f>
        <v>-0.73934756497147514</v>
      </c>
      <c r="Y7" s="66">
        <f>IF(X7&lt;0, 0, 0.00035*(10*X7/((1/COS(M$1))-0.8))^(3/(1+1/(DATOS!E$6))))</f>
        <v>0</v>
      </c>
      <c r="Z7" s="66">
        <f>0.5*S7*(U7+Y7)</f>
        <v>3508657.3140609735</v>
      </c>
      <c r="AA7">
        <f>AC$5*A7^2*K$3</f>
        <v>112034.47514270192</v>
      </c>
      <c r="AB7">
        <f t="shared" ref="AB7:AB28" si="8">2*C$4/AA7</f>
        <v>34.157190410591951</v>
      </c>
      <c r="AC7">
        <f t="shared" ref="AC7:AC28" si="9">K$1+AB7^(2)*K$2</f>
        <v>73.289055117389182</v>
      </c>
      <c r="AE7" s="66">
        <f>EDisponible!E20</f>
        <v>6.1783945468758733E-2</v>
      </c>
      <c r="AF7" s="66">
        <f>AE7-0.8</f>
        <v>-0.73821605453124128</v>
      </c>
      <c r="AG7" s="66">
        <f>IF(AF7&lt;0, 0, 0.00035*(10*AF7/((1/COS(M$1))-0.8))^(3/(1+1/(DATOS!E$6))))</f>
        <v>0</v>
      </c>
      <c r="AH7" s="66">
        <f>0.5*AA7*(AC7+AG7)</f>
        <v>4105450.4118906246</v>
      </c>
      <c r="AI7">
        <f>AK$5*A7^2*K$3</f>
        <v>95166.952649824321</v>
      </c>
      <c r="AJ7">
        <f t="shared" ref="AJ7:AJ28" si="10">2*C$4/AI7</f>
        <v>40.211258146312673</v>
      </c>
      <c r="AK7">
        <f t="shared" ref="AK7:AK28" si="11">K$1+AJ7^(2)*K$2</f>
        <v>101.56603690079689</v>
      </c>
      <c r="AL7">
        <f>0.5*AI7*AK7</f>
        <v>4832865.1122842235</v>
      </c>
      <c r="AM7" s="66">
        <f>EDisponible!F20</f>
        <v>6.2981241599812374E-2</v>
      </c>
      <c r="AN7" s="66">
        <f>AM7-0.8</f>
        <v>-0.73701875840018771</v>
      </c>
      <c r="AO7" s="66">
        <f>IF(AN7&lt;0, 0, 0.00035*(10*AN7/((1/COS(M$1))-0.8))^(3/(1+1/(DATOS!E$6))))</f>
        <v>0</v>
      </c>
      <c r="AP7" s="66">
        <f>0.5*AI7*(AK7+AO7)</f>
        <v>4832865.1122842235</v>
      </c>
      <c r="AQ7">
        <f>AS$5*A7^2*K$3</f>
        <v>80314.689014197094</v>
      </c>
      <c r="AR7">
        <f t="shared" ref="AR7:AR28" si="12">2*C$4/AQ7</f>
        <v>47.647359990692941</v>
      </c>
      <c r="AS7">
        <f t="shared" ref="AS7:AS28" si="13">K$1+AR7^(2)*K$2</f>
        <v>142.59842108023233</v>
      </c>
      <c r="AU7" s="66">
        <f>EDisponible!G20</f>
        <v>6.4250955513637353E-2</v>
      </c>
      <c r="AV7" s="66">
        <f>AU7-0.8</f>
        <v>-0.73574904448636269</v>
      </c>
      <c r="AW7" s="66">
        <f>IF(AV7&lt;0, 0, 0.00035*(10*AV7/((1/COS(M$1))-0.8))^(3/(1+1/(DATOS!E$6))))</f>
        <v>0</v>
      </c>
      <c r="AX7" s="66">
        <f t="shared" ref="AX7:AX28" si="14">0.5*AQ7*(AS7+AW7)</f>
        <v>5726373.9214871936</v>
      </c>
      <c r="AY7">
        <f>BA$5*A7^2*K$3</f>
        <v>67304.392904530847</v>
      </c>
      <c r="AZ7">
        <f t="shared" ref="AZ7:AZ28" si="15">2*C$4/AY7</f>
        <v>56.85784738342668</v>
      </c>
      <c r="BA7">
        <f t="shared" ref="BA7:BA28" si="16">K$1+AZ7^(2)*K$2</f>
        <v>203.05138501110727</v>
      </c>
      <c r="BB7">
        <f>0.5*AY7*BA7</f>
        <v>6833125.0982983643</v>
      </c>
      <c r="BC7" s="66">
        <f>EDisponible!H20</f>
        <v>6.5600694753488883E-2</v>
      </c>
      <c r="BD7" s="66">
        <f>BC7-0.8</f>
        <v>-0.7343993052465112</v>
      </c>
      <c r="BE7" s="66">
        <f>IF(BD7&lt;0, 0, 0.00035*(10*BD7/((1/COS(M$1))-0.8))^(3/(1+1/(DATOS!E$6))))</f>
        <v>0</v>
      </c>
      <c r="BF7" s="66">
        <f t="shared" ref="BF7:BF28" si="17">0.5*AY7*(BA7+BE7)</f>
        <v>6833125.0982983643</v>
      </c>
      <c r="BG7">
        <f>BI$5*A7^2*K$3</f>
        <v>55971.403760992842</v>
      </c>
      <c r="BH7">
        <f t="shared" ref="BH7:BH28" si="18">2*C$4/BG7</f>
        <v>68.370322036963671</v>
      </c>
      <c r="BI7">
        <f t="shared" ref="BI7:BI28" si="19">K$1+BH7^(2)*K$2</f>
        <v>293.59707321274556</v>
      </c>
      <c r="BJ7">
        <f>0.5*BG7*BI7</f>
        <v>8216520.1639181785</v>
      </c>
      <c r="BK7" s="66">
        <f>EDisponible!I20</f>
        <v>6.703923488221479E-2</v>
      </c>
      <c r="BL7" s="66">
        <f>BK7-0.8</f>
        <v>-0.7329607651177853</v>
      </c>
      <c r="BM7" s="66">
        <f>IF(BL7&lt;0, 0, 0.00035*(10*BL7/((1/COS(M$1))-0.8))^(3/(1+1/(DATOS!E$6))))</f>
        <v>0</v>
      </c>
      <c r="BN7" s="66">
        <f t="shared" ref="BN7:BN28" si="20">0.5*BG7*(BI7+BM7)</f>
        <v>8216520.1639181785</v>
      </c>
    </row>
    <row r="8" spans="1:70">
      <c r="A8" s="41">
        <f>EDisponible!A21</f>
        <v>25</v>
      </c>
      <c r="B8" s="44"/>
      <c r="C8">
        <f t="shared" si="0"/>
        <v>275926.27045506856</v>
      </c>
      <c r="D8">
        <f t="shared" si="1"/>
        <v>13.868860307098407</v>
      </c>
      <c r="E8">
        <f t="shared" si="2"/>
        <v>12.093450153069664</v>
      </c>
      <c r="F8">
        <f t="shared" si="3"/>
        <v>1668450.2988353951</v>
      </c>
      <c r="G8" s="66">
        <f>EDisponible!B21</f>
        <v>7.3205273037713944E-2</v>
      </c>
      <c r="H8" s="66">
        <f t="shared" ref="H8:H29" si="21">G8-0.8</f>
        <v>-0.72679472696228609</v>
      </c>
      <c r="I8" s="66">
        <f>IF(H8&lt;0, 0, 0.00035*(10*H8/((1/COS(M$1))-0.8))^(3/(1+1/(DATOS!E$6))))</f>
        <v>0</v>
      </c>
      <c r="J8" s="66">
        <f t="shared" ref="J8:J29" si="22">0.5*C8*(E8+I8)</f>
        <v>1668450.2988353951</v>
      </c>
      <c r="K8" s="66">
        <f t="shared" ref="K8:K29" si="23">M$5*A8^2*K$3</f>
        <v>238362.72623303268</v>
      </c>
      <c r="L8" s="11">
        <f t="shared" si="4"/>
        <v>16.05445180325211</v>
      </c>
      <c r="M8">
        <f t="shared" si="5"/>
        <v>16.200932536544105</v>
      </c>
      <c r="N8">
        <f t="shared" ref="N8:N28" si="24">0.5*K8*M8</f>
        <v>1930849.2234640471</v>
      </c>
      <c r="O8" s="66">
        <f>EDisponible!C21</f>
        <v>7.4476123130121072E-2</v>
      </c>
      <c r="P8" s="66">
        <f t="shared" ref="P8:P29" si="25">O8-0.8</f>
        <v>-0.72552387686987896</v>
      </c>
      <c r="Q8" s="66">
        <f>IF(P8&lt;0, 0, 0.00035*(10*P8/((1/COS(M$1))-0.8))^(3/(1+1/(DATOS!E$6))))</f>
        <v>0</v>
      </c>
      <c r="R8" s="66">
        <f t="shared" ref="R8:R29" si="26">0.5*K8*(M8+Q8)</f>
        <v>1930849.2234640471</v>
      </c>
      <c r="S8" s="66">
        <f t="shared" ref="S8:S29" si="27">U$5*A8^2*K$3</f>
        <v>204842.60495354063</v>
      </c>
      <c r="T8">
        <f t="shared" si="6"/>
        <v>18.681577013082482</v>
      </c>
      <c r="U8">
        <f t="shared" si="7"/>
        <v>21.932296558563007</v>
      </c>
      <c r="V8">
        <f t="shared" ref="V8:V28" si="28">0.5*S8*U8</f>
        <v>2246334.3798348103</v>
      </c>
      <c r="W8" s="66">
        <f>EDisponible!D21</f>
        <v>7.5815543785656206E-2</v>
      </c>
      <c r="X8" s="66">
        <f t="shared" ref="X8:X29" si="29">W8-0.8</f>
        <v>-0.7241844562143438</v>
      </c>
      <c r="Y8" s="66">
        <f>IF(X8&lt;0, 0, 0.00035*(10*X8/((1/COS(M$1))-0.8))^(3/(1+1/(DATOS!E$6))))</f>
        <v>0</v>
      </c>
      <c r="Z8" s="66">
        <f t="shared" ref="Z8:Z29" si="30">0.5*S8*(U8+Y8)</f>
        <v>2246334.3798348103</v>
      </c>
      <c r="AA8" s="66">
        <f t="shared" ref="AA8:AA29" si="31">AC$5*A8^2*K$3</f>
        <v>175053.86741047175</v>
      </c>
      <c r="AB8">
        <f t="shared" si="8"/>
        <v>21.86060186277885</v>
      </c>
      <c r="AC8">
        <f t="shared" si="9"/>
        <v>30.026946329162431</v>
      </c>
      <c r="AD8">
        <f t="shared" ref="AD8:AD29" si="32">0.5*AA8*AC8</f>
        <v>2628166.5407232759</v>
      </c>
      <c r="AE8" s="66">
        <f>EDisponible!E21</f>
        <v>7.7229931835948409E-2</v>
      </c>
      <c r="AF8" s="66">
        <f t="shared" ref="AF8:AF29" si="33">AE8-0.8</f>
        <v>-0.72277006816405165</v>
      </c>
      <c r="AG8" s="66">
        <f>IF(AF8&lt;0, 0, 0.00035*(10*AF8/((1/COS(M$1))-0.8))^(3/(1+1/(DATOS!E$6))))</f>
        <v>0</v>
      </c>
      <c r="AH8" s="66">
        <f t="shared" ref="AH8:AH29" si="34">0.5*AA8*(AC8+AG8)</f>
        <v>2628166.5407232759</v>
      </c>
      <c r="AI8" s="66">
        <f t="shared" ref="AI8:AI29" si="35">AK$5*A8^2*K$3</f>
        <v>148698.3635153505</v>
      </c>
      <c r="AJ8">
        <f t="shared" si="10"/>
        <v>25.735205213640107</v>
      </c>
      <c r="AK8">
        <f t="shared" si="11"/>
        <v>41.609198067646211</v>
      </c>
      <c r="AL8">
        <f t="shared" ref="AL8:AL28" si="36">0.5*AI8*AK8</f>
        <v>3093609.8299225378</v>
      </c>
      <c r="AM8" s="66">
        <f>EDisponible!F21</f>
        <v>7.8726551999765471E-2</v>
      </c>
      <c r="AN8" s="66">
        <f t="shared" ref="AN8:AN29" si="37">AM8-0.8</f>
        <v>-0.72127344800023452</v>
      </c>
      <c r="AO8" s="66">
        <f>IF(AN8&lt;0, 0, 0.00035*(10*AN8/((1/COS(M$1))-0.8))^(3/(1+1/(DATOS!E$6))))</f>
        <v>0</v>
      </c>
      <c r="AP8" s="66">
        <f t="shared" ref="AP8:AP29" si="38">0.5*AI8*(AK8+AO8)</f>
        <v>3093609.8299225378</v>
      </c>
      <c r="AQ8" s="66">
        <f t="shared" ref="AQ8:AQ29" si="39">AS$5*A8^2*K$3</f>
        <v>125491.70158468296</v>
      </c>
      <c r="AR8">
        <f t="shared" si="12"/>
        <v>30.494310394043481</v>
      </c>
      <c r="AS8">
        <f t="shared" si="13"/>
        <v>58.416062627542985</v>
      </c>
      <c r="AT8">
        <f t="shared" ref="AT8:AT28" si="40">0.5*AQ8*AS8</f>
        <v>3665365.5495038875</v>
      </c>
      <c r="AU8" s="66">
        <f>EDisponible!G21</f>
        <v>8.0313694392046692E-2</v>
      </c>
      <c r="AV8" s="66">
        <f t="shared" ref="AV8:AV29" si="41">AU8-0.8</f>
        <v>-0.71968630560795332</v>
      </c>
      <c r="AW8" s="66">
        <f>IF(AV8&lt;0, 0, 0.00035*(10*AV8/((1/COS(M$1))-0.8))^(3/(1+1/(DATOS!E$6))))</f>
        <v>0</v>
      </c>
      <c r="AX8" s="66">
        <f t="shared" si="14"/>
        <v>3665365.5495038875</v>
      </c>
      <c r="AY8" s="66">
        <f t="shared" ref="AY8:AY29" si="42">BA$5*A8^2*K$3</f>
        <v>105163.11391332943</v>
      </c>
      <c r="AZ8">
        <f t="shared" si="15"/>
        <v>36.389022325393078</v>
      </c>
      <c r="BA8">
        <f t="shared" si="16"/>
        <v>83.177596653629394</v>
      </c>
      <c r="BB8">
        <f t="shared" ref="BB8:BB28" si="43">0.5*AY8*BA8</f>
        <v>4373607.5359612983</v>
      </c>
      <c r="BC8" s="66">
        <f>EDisponible!H21</f>
        <v>8.2000868441861108E-2</v>
      </c>
      <c r="BD8" s="66">
        <f t="shared" ref="BD8:BD29" si="44">BC8-0.8</f>
        <v>-0.71799913155813888</v>
      </c>
      <c r="BE8" s="66">
        <f>IF(BD8&lt;0, 0, 0.00035*(10*BD8/((1/COS(M$1))-0.8))^(3/(1+1/(DATOS!E$6))))</f>
        <v>0</v>
      </c>
      <c r="BF8" s="66">
        <f t="shared" si="17"/>
        <v>4373607.5359612983</v>
      </c>
      <c r="BG8" s="66">
        <f t="shared" ref="BG8:BG29" si="45">BI$5*A8^2*K$3</f>
        <v>87455.318376551324</v>
      </c>
      <c r="BH8">
        <f t="shared" si="18"/>
        <v>43.757006103656749</v>
      </c>
      <c r="BI8">
        <f t="shared" si="19"/>
        <v>120.26511054102041</v>
      </c>
      <c r="BJ8">
        <f t="shared" ref="BJ8:BJ28" si="46">0.5*BG8*BI8</f>
        <v>5258911.7659780392</v>
      </c>
      <c r="BK8" s="66">
        <f>EDisponible!I21</f>
        <v>8.3799043602768478E-2</v>
      </c>
      <c r="BL8" s="66">
        <f t="shared" ref="BL8:BL29" si="47">BK8-0.8</f>
        <v>-0.71620095639723158</v>
      </c>
      <c r="BM8" s="66">
        <f>IF(BL8&lt;0, 0, 0.00035*(10*BL8/((1/COS(M$1))-0.8))^(3/(1+1/(DATOS!E$6))))</f>
        <v>0</v>
      </c>
      <c r="BN8" s="66">
        <f t="shared" si="20"/>
        <v>5258911.7659780392</v>
      </c>
    </row>
    <row r="9" spans="1:70">
      <c r="A9" s="41">
        <f>EDisponible!A22</f>
        <v>30</v>
      </c>
      <c r="B9" s="44"/>
      <c r="C9">
        <f t="shared" si="0"/>
        <v>397333.82945529872</v>
      </c>
      <c r="D9">
        <f t="shared" si="1"/>
        <v>9.63115299104056</v>
      </c>
      <c r="E9">
        <f t="shared" si="2"/>
        <v>5.8388993996527585</v>
      </c>
      <c r="F9">
        <f t="shared" si="3"/>
        <v>1159996.1291341376</v>
      </c>
      <c r="G9" s="66">
        <f>EDisponible!B22</f>
        <v>8.7846327645256725E-2</v>
      </c>
      <c r="H9" s="66">
        <f t="shared" si="21"/>
        <v>-0.71215367235474336</v>
      </c>
      <c r="I9" s="66">
        <f>IF(H9&lt;0, 0, 0.00035*(10*H9/((1/COS(M$1))-0.8))^(3/(1+1/(DATOS!E$6))))</f>
        <v>0</v>
      </c>
      <c r="J9" s="66">
        <f t="shared" si="22"/>
        <v>1159996.1291341376</v>
      </c>
      <c r="K9" s="66">
        <f t="shared" si="23"/>
        <v>343242.32577556703</v>
      </c>
      <c r="L9" s="11">
        <f t="shared" si="4"/>
        <v>11.148924863369521</v>
      </c>
      <c r="M9">
        <f t="shared" si="5"/>
        <v>7.8197454564980706</v>
      </c>
      <c r="N9">
        <f t="shared" si="24"/>
        <v>1342033.8087306605</v>
      </c>
      <c r="O9" s="66">
        <f>EDisponible!C22</f>
        <v>8.9371347756145275E-2</v>
      </c>
      <c r="P9" s="66">
        <f t="shared" si="25"/>
        <v>-0.71062865224385474</v>
      </c>
      <c r="Q9" s="66">
        <f>IF(P9&lt;0, 0, 0.00035*(10*P9/((1/COS(M$1))-0.8))^(3/(1+1/(DATOS!E$6))))</f>
        <v>0</v>
      </c>
      <c r="R9" s="66">
        <f t="shared" si="26"/>
        <v>1342033.8087306605</v>
      </c>
      <c r="S9" s="66">
        <f t="shared" si="27"/>
        <v>294973.35113309853</v>
      </c>
      <c r="T9">
        <f t="shared" si="6"/>
        <v>12.973317370196167</v>
      </c>
      <c r="U9">
        <f t="shared" si="7"/>
        <v>10.583713445511817</v>
      </c>
      <c r="V9">
        <f t="shared" si="28"/>
        <v>1560956.7112275267</v>
      </c>
      <c r="W9" s="66">
        <f>EDisponible!D22</f>
        <v>9.0978652542787447E-2</v>
      </c>
      <c r="X9" s="66">
        <f t="shared" si="29"/>
        <v>-0.70902134745721257</v>
      </c>
      <c r="Y9" s="66">
        <f>IF(X9&lt;0, 0, 0.00035*(10*X9/((1/COS(M$1))-0.8))^(3/(1+1/(DATOS!E$6))))</f>
        <v>0</v>
      </c>
      <c r="Z9" s="66">
        <f t="shared" si="30"/>
        <v>1560956.7112275267</v>
      </c>
      <c r="AA9" s="66">
        <f t="shared" si="31"/>
        <v>252077.56907107931</v>
      </c>
      <c r="AB9">
        <f t="shared" si="8"/>
        <v>15.180973515818646</v>
      </c>
      <c r="AC9">
        <f t="shared" si="9"/>
        <v>14.487383280870336</v>
      </c>
      <c r="AD9">
        <f t="shared" si="32"/>
        <v>1825972.179821396</v>
      </c>
      <c r="AE9" s="66">
        <f>EDisponible!E22</f>
        <v>9.26759182031381E-2</v>
      </c>
      <c r="AF9" s="66">
        <f t="shared" si="33"/>
        <v>-0.7073240817968619</v>
      </c>
      <c r="AG9" s="66">
        <f>IF(AF9&lt;0, 0, 0.00035*(10*AF9/((1/COS(M$1))-0.8))^(3/(1+1/(DATOS!E$6))))</f>
        <v>0</v>
      </c>
      <c r="AH9" s="66">
        <f t="shared" si="34"/>
        <v>1825972.179821396</v>
      </c>
      <c r="AI9" s="66">
        <f t="shared" si="35"/>
        <v>214125.64346210472</v>
      </c>
      <c r="AJ9">
        <f t="shared" si="10"/>
        <v>17.871670287250076</v>
      </c>
      <c r="AK9">
        <f t="shared" si="11"/>
        <v>20.072959929444696</v>
      </c>
      <c r="AL9">
        <f t="shared" si="36"/>
        <v>2149067.7305406951</v>
      </c>
      <c r="AM9" s="66">
        <f>EDisponible!F22</f>
        <v>9.4471862399718567E-2</v>
      </c>
      <c r="AN9" s="66">
        <f t="shared" si="37"/>
        <v>-0.70552813760028144</v>
      </c>
      <c r="AO9" s="66">
        <f>IF(AN9&lt;0, 0, 0.00035*(10*AN9/((1/COS(M$1))-0.8))^(3/(1+1/(DATOS!E$6))))</f>
        <v>0</v>
      </c>
      <c r="AP9" s="66">
        <f t="shared" si="38"/>
        <v>2149067.7305406951</v>
      </c>
      <c r="AQ9" s="66">
        <f t="shared" si="39"/>
        <v>180708.05028194346</v>
      </c>
      <c r="AR9">
        <f t="shared" si="12"/>
        <v>21.176604440307973</v>
      </c>
      <c r="AS9">
        <f t="shared" si="13"/>
        <v>28.178122236493675</v>
      </c>
      <c r="AT9">
        <f t="shared" si="40"/>
        <v>2546006.7649815241</v>
      </c>
      <c r="AU9" s="66">
        <f>EDisponible!G22</f>
        <v>9.637643327045603E-2</v>
      </c>
      <c r="AV9" s="66">
        <f t="shared" si="41"/>
        <v>-0.70362356672954407</v>
      </c>
      <c r="AW9" s="66">
        <f>IF(AV9&lt;0, 0, 0.00035*(10*AV9/((1/COS(M$1))-0.8))^(3/(1+1/(DATOS!E$6))))</f>
        <v>0</v>
      </c>
      <c r="AX9" s="66">
        <f t="shared" si="14"/>
        <v>2546006.7649815241</v>
      </c>
      <c r="AY9" s="66">
        <f t="shared" si="42"/>
        <v>151434.88403519441</v>
      </c>
      <c r="AZ9">
        <f t="shared" si="15"/>
        <v>25.27015439263408</v>
      </c>
      <c r="BA9">
        <f t="shared" si="16"/>
        <v>40.119448445061565</v>
      </c>
      <c r="BB9">
        <f t="shared" si="43"/>
        <v>3037742.0114169293</v>
      </c>
      <c r="BC9" s="66">
        <f>EDisponible!H22</f>
        <v>9.8401042130233332E-2</v>
      </c>
      <c r="BD9" s="66">
        <f t="shared" si="44"/>
        <v>-0.70159895786976667</v>
      </c>
      <c r="BE9" s="66">
        <f>IF(BD9&lt;0, 0, 0.00035*(10*BD9/((1/COS(M$1))-0.8))^(3/(1+1/(DATOS!E$6))))</f>
        <v>0</v>
      </c>
      <c r="BF9" s="66">
        <f t="shared" si="17"/>
        <v>3037742.0114169293</v>
      </c>
      <c r="BG9" s="66">
        <f t="shared" si="45"/>
        <v>125935.65846223389</v>
      </c>
      <c r="BH9">
        <f t="shared" si="18"/>
        <v>30.38680979420608</v>
      </c>
      <c r="BI9">
        <f t="shared" si="19"/>
        <v>58.005016484891357</v>
      </c>
      <c r="BJ9">
        <f t="shared" si="46"/>
        <v>3652449.972568762</v>
      </c>
      <c r="BK9" s="66">
        <f>EDisponible!I22</f>
        <v>0.10055885232332218</v>
      </c>
      <c r="BL9" s="66">
        <f t="shared" si="47"/>
        <v>-0.69944114767667787</v>
      </c>
      <c r="BM9" s="66">
        <f>IF(BL9&lt;0, 0, 0.00035*(10*BL9/((1/COS(M$1))-0.8))^(3/(1+1/(DATOS!E$6))))</f>
        <v>0</v>
      </c>
      <c r="BN9" s="66">
        <f t="shared" si="20"/>
        <v>3652449.972568762</v>
      </c>
    </row>
    <row r="10" spans="1:70">
      <c r="A10" s="41">
        <f>EDisponible!A23</f>
        <v>35</v>
      </c>
      <c r="B10" s="44"/>
      <c r="C10">
        <f t="shared" si="0"/>
        <v>540815.49009193445</v>
      </c>
      <c r="D10">
        <f t="shared" si="1"/>
        <v>7.0759491362746969</v>
      </c>
      <c r="E10">
        <f t="shared" si="2"/>
        <v>3.1577331977420116</v>
      </c>
      <c r="F10">
        <f t="shared" si="3"/>
        <v>853875.51345820865</v>
      </c>
      <c r="G10" s="66">
        <f>EDisponible!B23</f>
        <v>0.10248738225279952</v>
      </c>
      <c r="H10" s="66">
        <f t="shared" si="21"/>
        <v>-0.69751261774720053</v>
      </c>
      <c r="I10" s="66">
        <f>IF(H10&lt;0, 0, 0.00035*(10*H10/((1/COS(M$1))-0.8))^(3/(1+1/(DATOS!E$6))))</f>
        <v>0</v>
      </c>
      <c r="J10" s="66">
        <f t="shared" si="22"/>
        <v>853875.51345820865</v>
      </c>
      <c r="K10" s="66">
        <f t="shared" si="23"/>
        <v>467190.94341674406</v>
      </c>
      <c r="L10" s="11">
        <f t="shared" si="4"/>
        <v>8.1910468383939339</v>
      </c>
      <c r="M10">
        <f t="shared" si="5"/>
        <v>4.2269445637026637</v>
      </c>
      <c r="N10">
        <f t="shared" si="24"/>
        <v>987395.10924326256</v>
      </c>
      <c r="O10" s="66">
        <f>EDisponible!C23</f>
        <v>0.10426657238216949</v>
      </c>
      <c r="P10" s="66">
        <f t="shared" si="25"/>
        <v>-0.69573342761783052</v>
      </c>
      <c r="Q10" s="66">
        <f>IF(P10&lt;0, 0, 0.00035*(10*P10/((1/COS(M$1))-0.8))^(3/(1+1/(DATOS!E$6))))</f>
        <v>0</v>
      </c>
      <c r="R10" s="66">
        <f t="shared" si="26"/>
        <v>987395.10924326256</v>
      </c>
      <c r="S10" s="66">
        <f t="shared" si="27"/>
        <v>401491.50570893969</v>
      </c>
      <c r="T10">
        <f t="shared" si="6"/>
        <v>9.5314168434094277</v>
      </c>
      <c r="U10">
        <f t="shared" si="7"/>
        <v>5.7188656439866321</v>
      </c>
      <c r="V10">
        <f t="shared" si="28"/>
        <v>1148037.9891756589</v>
      </c>
      <c r="W10" s="66">
        <f>EDisponible!D23</f>
        <v>0.10614176129991869</v>
      </c>
      <c r="X10" s="66">
        <f t="shared" si="29"/>
        <v>-0.69385823870008134</v>
      </c>
      <c r="Y10" s="66">
        <f>IF(X10&lt;0, 0, 0.00035*(10*X10/((1/COS(M$1))-0.8))^(3/(1+1/(DATOS!E$6))))</f>
        <v>0</v>
      </c>
      <c r="Z10" s="66">
        <f t="shared" si="30"/>
        <v>1148037.9891756589</v>
      </c>
      <c r="AA10" s="66">
        <f t="shared" si="31"/>
        <v>343105.58012452465</v>
      </c>
      <c r="AB10">
        <f t="shared" si="8"/>
        <v>11.153368297336147</v>
      </c>
      <c r="AC10">
        <f t="shared" si="9"/>
        <v>7.8259693951839013</v>
      </c>
      <c r="AD10">
        <f t="shared" si="32"/>
        <v>1342566.884685674</v>
      </c>
      <c r="AE10" s="66">
        <f>EDisponible!E23</f>
        <v>0.10812190457032778</v>
      </c>
      <c r="AF10" s="66">
        <f t="shared" si="33"/>
        <v>-0.69187809542967227</v>
      </c>
      <c r="AG10" s="66">
        <f>IF(AF10&lt;0, 0, 0.00035*(10*AF10/((1/COS(M$1))-0.8))^(3/(1+1/(DATOS!E$6))))</f>
        <v>0</v>
      </c>
      <c r="AH10" s="66">
        <f t="shared" si="34"/>
        <v>1342566.884685674</v>
      </c>
      <c r="AI10" s="66">
        <f t="shared" si="35"/>
        <v>291448.79249008698</v>
      </c>
      <c r="AJ10">
        <f t="shared" si="10"/>
        <v>13.130206741653117</v>
      </c>
      <c r="AK10">
        <f t="shared" si="11"/>
        <v>10.840924554097841</v>
      </c>
      <c r="AL10">
        <f t="shared" si="36"/>
        <v>1579787.1853839753</v>
      </c>
      <c r="AM10" s="66">
        <f>EDisponible!F23</f>
        <v>0.11021717279967166</v>
      </c>
      <c r="AN10" s="66">
        <f t="shared" si="37"/>
        <v>-0.68978282720032835</v>
      </c>
      <c r="AO10" s="66">
        <f>IF(AN10&lt;0, 0, 0.00035*(10*AN10/((1/COS(M$1))-0.8))^(3/(1+1/(DATOS!E$6))))</f>
        <v>0</v>
      </c>
      <c r="AP10" s="66">
        <f t="shared" si="38"/>
        <v>1579787.1853839753</v>
      </c>
      <c r="AQ10" s="66">
        <f t="shared" si="39"/>
        <v>245963.73510597859</v>
      </c>
      <c r="AR10">
        <f t="shared" si="12"/>
        <v>15.558321629614023</v>
      </c>
      <c r="AS10">
        <f t="shared" si="13"/>
        <v>15.215889297927697</v>
      </c>
      <c r="AT10">
        <f t="shared" si="40"/>
        <v>1871278.4823386914</v>
      </c>
      <c r="AU10" s="66">
        <f>EDisponible!G23</f>
        <v>0.11243917214886537</v>
      </c>
      <c r="AV10" s="66">
        <f t="shared" si="41"/>
        <v>-0.6875608278511347</v>
      </c>
      <c r="AW10" s="66">
        <f>IF(AV10&lt;0, 0, 0.00035*(10*AV10/((1/COS(M$1))-0.8))^(3/(1+1/(DATOS!E$6))))</f>
        <v>0</v>
      </c>
      <c r="AX10" s="66">
        <f t="shared" si="14"/>
        <v>1871278.4823386914</v>
      </c>
      <c r="AY10" s="66">
        <f t="shared" si="42"/>
        <v>206119.7032701257</v>
      </c>
      <c r="AZ10">
        <f t="shared" si="15"/>
        <v>18.565827717037283</v>
      </c>
      <c r="BA10">
        <f t="shared" si="16"/>
        <v>21.661519771190502</v>
      </c>
      <c r="BB10">
        <f t="shared" si="43"/>
        <v>2232433.0138088735</v>
      </c>
      <c r="BC10" s="66">
        <f>EDisponible!H23</f>
        <v>0.11480121581860556</v>
      </c>
      <c r="BD10" s="66">
        <f t="shared" si="44"/>
        <v>-0.68519878418139446</v>
      </c>
      <c r="BE10" s="66">
        <f>IF(BD10&lt;0, 0, 0.00035*(10*BD10/((1/COS(M$1))-0.8))^(3/(1+1/(DATOS!E$6))))</f>
        <v>0</v>
      </c>
      <c r="BF10" s="66">
        <f t="shared" si="17"/>
        <v>2232433.0138088735</v>
      </c>
      <c r="BG10" s="66">
        <f t="shared" si="45"/>
        <v>171412.42401804059</v>
      </c>
      <c r="BH10">
        <f t="shared" si="18"/>
        <v>22.325003114110586</v>
      </c>
      <c r="BI10">
        <f t="shared" si="19"/>
        <v>31.315703935963256</v>
      </c>
      <c r="BJ10">
        <f t="shared" si="46"/>
        <v>2683950.3607473783</v>
      </c>
      <c r="BK10" s="66">
        <f>EDisponible!I23</f>
        <v>0.11731866104387588</v>
      </c>
      <c r="BL10" s="66">
        <f t="shared" si="47"/>
        <v>-0.68268133895612415</v>
      </c>
      <c r="BM10" s="66">
        <f>IF(BL10&lt;0, 0, 0.00035*(10*BL10/((1/COS(M$1))-0.8))^(3/(1+1/(DATOS!E$6))))</f>
        <v>0</v>
      </c>
      <c r="BN10" s="66">
        <f t="shared" si="20"/>
        <v>2683950.3607473783</v>
      </c>
    </row>
    <row r="11" spans="1:70">
      <c r="A11" s="41">
        <f>EDisponible!A24</f>
        <v>40</v>
      </c>
      <c r="B11" s="44"/>
      <c r="C11">
        <f t="shared" si="0"/>
        <v>706371.25236497552</v>
      </c>
      <c r="D11">
        <f t="shared" si="1"/>
        <v>5.4175235574603153</v>
      </c>
      <c r="E11">
        <f t="shared" si="2"/>
        <v>1.8564368399530697</v>
      </c>
      <c r="F11">
        <f t="shared" si="3"/>
        <v>655666.80778706376</v>
      </c>
      <c r="G11" s="66">
        <f>EDisponible!B24</f>
        <v>0.11712843686034231</v>
      </c>
      <c r="H11" s="66">
        <f t="shared" si="21"/>
        <v>-0.68287156313965769</v>
      </c>
      <c r="I11" s="66">
        <f>IF(H11&lt;0, 0, 0.00035*(10*H11/((1/COS(M$1))-0.8))^(3/(1+1/(DATOS!E$6))))</f>
        <v>0</v>
      </c>
      <c r="J11" s="66">
        <f t="shared" si="22"/>
        <v>655666.80778706376</v>
      </c>
      <c r="K11" s="66">
        <f>M$5*A11^2*K$3</f>
        <v>610208.57915656362</v>
      </c>
      <c r="L11" s="11">
        <f t="shared" si="4"/>
        <v>6.271270235645356</v>
      </c>
      <c r="M11">
        <f t="shared" si="5"/>
        <v>2.4831889126267819</v>
      </c>
      <c r="N11">
        <f t="shared" si="24"/>
        <v>757631.58907566033</v>
      </c>
      <c r="O11" s="66">
        <f>EDisponible!C24</f>
        <v>0.11916179700819371</v>
      </c>
      <c r="P11" s="66">
        <f t="shared" si="25"/>
        <v>-0.68083820299180631</v>
      </c>
      <c r="Q11" s="66">
        <f>IF(P11&lt;0, 0, 0.00035*(10*P11/((1/COS(M$1))-0.8))^(3/(1+1/(DATOS!E$6))))</f>
        <v>0</v>
      </c>
      <c r="R11" s="66">
        <f t="shared" si="26"/>
        <v>757631.58907566033</v>
      </c>
      <c r="S11" s="66">
        <f t="shared" si="27"/>
        <v>524397.06868106406</v>
      </c>
      <c r="T11">
        <f t="shared" si="6"/>
        <v>7.2974910207353441</v>
      </c>
      <c r="U11">
        <f t="shared" si="7"/>
        <v>3.3577256591506623</v>
      </c>
      <c r="V11">
        <f t="shared" si="28"/>
        <v>880390.74654690048</v>
      </c>
      <c r="W11" s="66">
        <f>EDisponible!D24</f>
        <v>0.12130487005704993</v>
      </c>
      <c r="X11" s="66">
        <f t="shared" si="29"/>
        <v>-0.67869512994295011</v>
      </c>
      <c r="Y11" s="66">
        <f>IF(X11&lt;0, 0, 0.00035*(10*X11/((1/COS(M$1))-0.8))^(3/(1+1/(DATOS!E$6))))</f>
        <v>0</v>
      </c>
      <c r="Z11" s="66">
        <f t="shared" si="30"/>
        <v>880390.74654690048</v>
      </c>
      <c r="AA11" s="66">
        <f t="shared" si="31"/>
        <v>448137.90057080769</v>
      </c>
      <c r="AB11">
        <f t="shared" si="8"/>
        <v>8.5392976026479879</v>
      </c>
      <c r="AC11">
        <f t="shared" si="9"/>
        <v>4.5928711929945676</v>
      </c>
      <c r="AD11">
        <f t="shared" si="32"/>
        <v>1029119.8270103632</v>
      </c>
      <c r="AE11" s="66">
        <f>EDisponible!E24</f>
        <v>0.12356789093751747</v>
      </c>
      <c r="AF11" s="66">
        <f t="shared" si="33"/>
        <v>-0.67643210906248252</v>
      </c>
      <c r="AG11" s="66">
        <f>IF(AF11&lt;0, 0, 0.00035*(10*AF11/((1/COS(M$1))-0.8))^(3/(1+1/(DATOS!E$6))))</f>
        <v>0</v>
      </c>
      <c r="AH11" s="66">
        <f t="shared" si="34"/>
        <v>1029119.8270103632</v>
      </c>
      <c r="AI11" s="66">
        <f t="shared" si="35"/>
        <v>380667.81059929729</v>
      </c>
      <c r="AJ11">
        <f t="shared" si="10"/>
        <v>10.052814536578168</v>
      </c>
      <c r="AK11">
        <f t="shared" si="11"/>
        <v>6.3601825544575492</v>
      </c>
      <c r="AL11">
        <f t="shared" si="36"/>
        <v>1210558.3840086006</v>
      </c>
      <c r="AM11" s="66">
        <f>EDisponible!F24</f>
        <v>0.12596248319962475</v>
      </c>
      <c r="AN11" s="66">
        <f t="shared" si="37"/>
        <v>-0.67403751680037527</v>
      </c>
      <c r="AO11" s="66">
        <f>IF(AN11&lt;0, 0, 0.00035*(10*AN11/((1/COS(M$1))-0.8))^(3/(1+1/(DATOS!E$6))))</f>
        <v>0</v>
      </c>
      <c r="AP11" s="66">
        <f t="shared" si="38"/>
        <v>1210558.3840086006</v>
      </c>
      <c r="AQ11" s="66">
        <f t="shared" si="39"/>
        <v>321258.75605678838</v>
      </c>
      <c r="AR11">
        <f t="shared" si="12"/>
        <v>11.911839997673235</v>
      </c>
      <c r="AS11">
        <f t="shared" si="13"/>
        <v>8.9247065656722651</v>
      </c>
      <c r="AT11">
        <f t="shared" si="40"/>
        <v>1433570.0647298619</v>
      </c>
      <c r="AU11" s="66">
        <f>EDisponible!G24</f>
        <v>0.12850191102727471</v>
      </c>
      <c r="AV11" s="66">
        <f t="shared" si="41"/>
        <v>-0.67149808897272534</v>
      </c>
      <c r="AW11" s="66">
        <f>IF(AV11&lt;0, 0, 0.00035*(10*AV11/((1/COS(M$1))-0.8))^(3/(1+1/(DATOS!E$6))))</f>
        <v>0</v>
      </c>
      <c r="AX11" s="66">
        <f t="shared" si="14"/>
        <v>1433570.0647298619</v>
      </c>
      <c r="AY11" s="66">
        <f t="shared" si="42"/>
        <v>269217.57161812339</v>
      </c>
      <c r="AZ11">
        <f t="shared" si="15"/>
        <v>14.21446184585667</v>
      </c>
      <c r="BA11">
        <f t="shared" si="16"/>
        <v>12.703016811351949</v>
      </c>
      <c r="BB11">
        <f t="shared" si="43"/>
        <v>1709937.6690881844</v>
      </c>
      <c r="BC11" s="66">
        <f>EDisponible!H24</f>
        <v>0.13120138950697777</v>
      </c>
      <c r="BD11" s="66">
        <f t="shared" si="44"/>
        <v>-0.66879861049302225</v>
      </c>
      <c r="BE11" s="66">
        <f>IF(BD11&lt;0, 0, 0.00035*(10*BD11/((1/COS(M$1))-0.8))^(3/(1+1/(DATOS!E$6))))</f>
        <v>0</v>
      </c>
      <c r="BF11" s="66">
        <f t="shared" si="17"/>
        <v>1709937.6690881844</v>
      </c>
      <c r="BG11" s="66">
        <f t="shared" si="45"/>
        <v>223885.61504397137</v>
      </c>
      <c r="BH11">
        <f t="shared" si="18"/>
        <v>17.092580509240918</v>
      </c>
      <c r="BI11">
        <f t="shared" si="19"/>
        <v>18.362122323954342</v>
      </c>
      <c r="BJ11">
        <f t="shared" si="46"/>
        <v>2055507.5250055774</v>
      </c>
      <c r="BK11" s="66">
        <f>EDisponible!I24</f>
        <v>0.13407846976442958</v>
      </c>
      <c r="BL11" s="66">
        <f t="shared" si="47"/>
        <v>-0.66592153023557044</v>
      </c>
      <c r="BM11" s="66">
        <f>IF(BL11&lt;0, 0, 0.00035*(10*BL11/((1/COS(M$1))-0.8))^(3/(1+1/(DATOS!E$6))))</f>
        <v>0</v>
      </c>
      <c r="BN11" s="66">
        <f t="shared" si="20"/>
        <v>2055507.5250055774</v>
      </c>
    </row>
    <row r="12" spans="1:70">
      <c r="A12" s="41">
        <f>EDisponible!A25</f>
        <v>45</v>
      </c>
      <c r="B12" s="44"/>
      <c r="C12">
        <f t="shared" si="0"/>
        <v>894001.11627442215</v>
      </c>
      <c r="D12">
        <f t="shared" si="1"/>
        <v>4.2805124404624717</v>
      </c>
      <c r="E12">
        <f t="shared" si="2"/>
        <v>1.1638957316878327</v>
      </c>
      <c r="F12">
        <f t="shared" si="3"/>
        <v>520262.04167797888</v>
      </c>
      <c r="G12" s="66">
        <f>EDisponible!B25</f>
        <v>0.13176949146788511</v>
      </c>
      <c r="H12" s="66">
        <f t="shared" si="21"/>
        <v>-0.66823050853211496</v>
      </c>
      <c r="I12" s="66">
        <f>IF(H12&lt;0, 0, 0.00035*(10*H12/((1/COS(M$1))-0.8))^(3/(1+1/(DATOS!E$6))))</f>
        <v>0</v>
      </c>
      <c r="J12" s="66">
        <f t="shared" si="22"/>
        <v>520262.04167797888</v>
      </c>
      <c r="K12" s="66">
        <f t="shared" si="23"/>
        <v>772295.2329950257</v>
      </c>
      <c r="L12" s="11">
        <f t="shared" si="4"/>
        <v>4.9550777170531211</v>
      </c>
      <c r="M12">
        <f t="shared" si="5"/>
        <v>1.5551739651387586</v>
      </c>
      <c r="N12">
        <f t="shared" si="24"/>
        <v>600526.71987731778</v>
      </c>
      <c r="O12" s="66">
        <f>EDisponible!C25</f>
        <v>0.13405702163421793</v>
      </c>
      <c r="P12" s="66">
        <f t="shared" si="25"/>
        <v>-0.66594297836578209</v>
      </c>
      <c r="Q12" s="66">
        <f>IF(P12&lt;0, 0, 0.00035*(10*P12/((1/COS(M$1))-0.8))^(3/(1+1/(DATOS!E$6))))</f>
        <v>0</v>
      </c>
      <c r="R12" s="66">
        <f t="shared" si="26"/>
        <v>600526.71987731778</v>
      </c>
      <c r="S12" s="66">
        <f t="shared" si="27"/>
        <v>663690.04004947166</v>
      </c>
      <c r="T12">
        <f t="shared" si="6"/>
        <v>5.765918831198297</v>
      </c>
      <c r="U12">
        <f t="shared" si="7"/>
        <v>2.1011429506229553</v>
      </c>
      <c r="V12">
        <f t="shared" si="28"/>
        <v>697253.82452430716</v>
      </c>
      <c r="W12" s="66">
        <f>EDisponible!D25</f>
        <v>0.13646797881418118</v>
      </c>
      <c r="X12" s="66">
        <f t="shared" si="29"/>
        <v>-0.66353202118581889</v>
      </c>
      <c r="Y12" s="66">
        <f>IF(X12&lt;0, 0, 0.00035*(10*X12/((1/COS(M$1))-0.8))^(3/(1+1/(DATOS!E$6))))</f>
        <v>0</v>
      </c>
      <c r="Z12" s="66">
        <f t="shared" si="30"/>
        <v>697253.82452430716</v>
      </c>
      <c r="AA12" s="66">
        <f t="shared" si="31"/>
        <v>567174.53040992853</v>
      </c>
      <c r="AB12">
        <f t="shared" si="8"/>
        <v>6.7470993403638415</v>
      </c>
      <c r="AC12">
        <f t="shared" si="9"/>
        <v>2.8722382267431552</v>
      </c>
      <c r="AD12">
        <f t="shared" si="32"/>
        <v>814530.18373924738</v>
      </c>
      <c r="AE12" s="66">
        <f>EDisponible!E25</f>
        <v>0.13901387730470716</v>
      </c>
      <c r="AF12" s="66">
        <f t="shared" si="33"/>
        <v>-0.66098612269529289</v>
      </c>
      <c r="AG12" s="66">
        <f>IF(AF12&lt;0, 0, 0.00035*(10*AF12/((1/COS(M$1))-0.8))^(3/(1+1/(DATOS!E$6))))</f>
        <v>0</v>
      </c>
      <c r="AH12" s="66">
        <f t="shared" si="34"/>
        <v>814530.18373924738</v>
      </c>
      <c r="AI12" s="66">
        <f t="shared" si="35"/>
        <v>481782.69778973563</v>
      </c>
      <c r="AJ12">
        <f t="shared" si="10"/>
        <v>7.942964572111145</v>
      </c>
      <c r="AK12">
        <f t="shared" si="11"/>
        <v>3.9755620091775974</v>
      </c>
      <c r="AL12">
        <f t="shared" si="36"/>
        <v>957678.49500598235</v>
      </c>
      <c r="AM12" s="66">
        <f>EDisponible!F25</f>
        <v>0.14170779359957786</v>
      </c>
      <c r="AN12" s="66">
        <f t="shared" si="37"/>
        <v>-0.65829220640042219</v>
      </c>
      <c r="AO12" s="66">
        <f>IF(AN12&lt;0, 0, 0.00035*(10*AN12/((1/COS(M$1))-0.8))^(3/(1+1/(DATOS!E$6))))</f>
        <v>0</v>
      </c>
      <c r="AP12" s="66">
        <f t="shared" si="38"/>
        <v>957678.49500598235</v>
      </c>
      <c r="AQ12" s="66">
        <f t="shared" si="39"/>
        <v>406593.1131343728</v>
      </c>
      <c r="AR12">
        <f t="shared" si="12"/>
        <v>9.4118241956924322</v>
      </c>
      <c r="AS12">
        <f t="shared" si="13"/>
        <v>5.5765817241502349</v>
      </c>
      <c r="AT12">
        <f t="shared" si="40"/>
        <v>1133699.861935246</v>
      </c>
      <c r="AU12" s="66">
        <f>EDisponible!G25</f>
        <v>0.14456464990568405</v>
      </c>
      <c r="AV12" s="66">
        <f t="shared" si="41"/>
        <v>-0.65543535009431597</v>
      </c>
      <c r="AW12" s="66">
        <f>IF(AV12&lt;0, 0, 0.00035*(10*AV12/((1/COS(M$1))-0.8))^(3/(1+1/(DATOS!E$6))))</f>
        <v>0</v>
      </c>
      <c r="AX12" s="66">
        <f t="shared" si="14"/>
        <v>1133699.861935246</v>
      </c>
      <c r="AY12" s="66">
        <f t="shared" si="42"/>
        <v>340728.48907918739</v>
      </c>
      <c r="AZ12">
        <f t="shared" si="15"/>
        <v>11.231179730059592</v>
      </c>
      <c r="BA12">
        <f t="shared" si="16"/>
        <v>7.9353622097932774</v>
      </c>
      <c r="BB12">
        <f t="shared" si="43"/>
        <v>1351901.9880194725</v>
      </c>
      <c r="BC12" s="66">
        <f>EDisponible!H25</f>
        <v>0.14760156319535001</v>
      </c>
      <c r="BD12" s="66">
        <f t="shared" si="44"/>
        <v>-0.65239843680465004</v>
      </c>
      <c r="BE12" s="66">
        <f>IF(BD12&lt;0, 0, 0.00035*(10*BD12/((1/COS(M$1))-0.8))^(3/(1+1/(DATOS!E$6))))</f>
        <v>0</v>
      </c>
      <c r="BF12" s="66">
        <f t="shared" si="17"/>
        <v>1351901.9880194725</v>
      </c>
      <c r="BG12" s="66">
        <f t="shared" si="45"/>
        <v>283355.23154002626</v>
      </c>
      <c r="BH12">
        <f t="shared" si="18"/>
        <v>13.505248797424924</v>
      </c>
      <c r="BI12">
        <f t="shared" si="19"/>
        <v>11.468313921364592</v>
      </c>
      <c r="BJ12">
        <f t="shared" si="46"/>
        <v>1624803.3732809853</v>
      </c>
      <c r="BK12" s="66">
        <f>EDisponible!I25</f>
        <v>0.15083827848498327</v>
      </c>
      <c r="BL12" s="66">
        <f t="shared" si="47"/>
        <v>-0.64916172151501672</v>
      </c>
      <c r="BM12" s="66">
        <f>IF(BL12&lt;0, 0, 0.00035*(10*BL12/((1/COS(M$1))-0.8))^(3/(1+1/(DATOS!E$6))))</f>
        <v>0</v>
      </c>
      <c r="BN12" s="66">
        <f t="shared" si="20"/>
        <v>1624803.3732809853</v>
      </c>
    </row>
    <row r="13" spans="1:70">
      <c r="A13" s="41">
        <f>EDisponible!A26</f>
        <v>50</v>
      </c>
      <c r="B13" s="44"/>
      <c r="C13">
        <f t="shared" si="0"/>
        <v>1103705.0818202742</v>
      </c>
      <c r="D13">
        <f t="shared" si="1"/>
        <v>3.4672150767746017</v>
      </c>
      <c r="E13">
        <f t="shared" si="2"/>
        <v>0.76814588272459849</v>
      </c>
      <c r="F13">
        <f t="shared" si="3"/>
        <v>423903.25717122987</v>
      </c>
      <c r="G13" s="66">
        <f>EDisponible!B26</f>
        <v>0.14641054607542789</v>
      </c>
      <c r="H13" s="66">
        <f t="shared" si="21"/>
        <v>-0.65358945392457213</v>
      </c>
      <c r="I13" s="66">
        <f>IF(H13&lt;0, 0, 0.00035*(10*H13/((1/COS(M$1))-0.8))^(3/(1+1/(DATOS!E$6))))</f>
        <v>0</v>
      </c>
      <c r="J13" s="66">
        <f t="shared" si="22"/>
        <v>423903.25717122987</v>
      </c>
      <c r="K13" s="66">
        <f t="shared" si="23"/>
        <v>953450.90493213071</v>
      </c>
      <c r="L13" s="11">
        <f t="shared" si="4"/>
        <v>4.0136129508130276</v>
      </c>
      <c r="M13">
        <f t="shared" si="5"/>
        <v>1.0248635316917509</v>
      </c>
      <c r="N13">
        <f t="shared" si="24"/>
        <v>488578.53086171969</v>
      </c>
      <c r="O13" s="66">
        <f>EDisponible!C26</f>
        <v>0.14895224626024214</v>
      </c>
      <c r="P13" s="66">
        <f t="shared" si="25"/>
        <v>-0.65104775373975787</v>
      </c>
      <c r="Q13" s="66">
        <f>IF(P13&lt;0, 0, 0.00035*(10*P13/((1/COS(M$1))-0.8))^(3/(1+1/(DATOS!E$6))))</f>
        <v>0</v>
      </c>
      <c r="R13" s="66">
        <f t="shared" si="26"/>
        <v>488578.53086171969</v>
      </c>
      <c r="S13" s="66">
        <f t="shared" si="27"/>
        <v>819370.41981416254</v>
      </c>
      <c r="T13">
        <f t="shared" si="6"/>
        <v>4.6703942532706204</v>
      </c>
      <c r="U13">
        <f t="shared" si="7"/>
        <v>1.3830737830679323</v>
      </c>
      <c r="V13">
        <f t="shared" si="28"/>
        <v>566624.87313316681</v>
      </c>
      <c r="W13" s="66">
        <f>EDisponible!D26</f>
        <v>0.15163108757131241</v>
      </c>
      <c r="X13" s="66">
        <f t="shared" si="29"/>
        <v>-0.64836891242868766</v>
      </c>
      <c r="Y13" s="66">
        <f>IF(X13&lt;0, 0, 0.00035*(10*X13/((1/COS(M$1))-0.8))^(3/(1+1/(DATOS!E$6))))</f>
        <v>0</v>
      </c>
      <c r="Z13" s="66">
        <f t="shared" si="30"/>
        <v>566624.87313316681</v>
      </c>
      <c r="AA13" s="66">
        <f t="shared" si="31"/>
        <v>700215.469641887</v>
      </c>
      <c r="AB13">
        <f t="shared" si="8"/>
        <v>5.4651504656947125</v>
      </c>
      <c r="AC13">
        <f t="shared" si="9"/>
        <v>1.8889893937303963</v>
      </c>
      <c r="AD13">
        <f t="shared" si="32"/>
        <v>661349.79773973639</v>
      </c>
      <c r="AE13" s="66">
        <f>EDisponible!E26</f>
        <v>0.15445986367189682</v>
      </c>
      <c r="AF13" s="66">
        <f t="shared" si="33"/>
        <v>-0.64554013632810325</v>
      </c>
      <c r="AG13" s="66">
        <f>IF(AF13&lt;0, 0, 0.00035*(10*AF13/((1/COS(M$1))-0.8))^(3/(1+1/(DATOS!E$6))))</f>
        <v>0</v>
      </c>
      <c r="AH13" s="66">
        <f t="shared" si="34"/>
        <v>661349.79773973639</v>
      </c>
      <c r="AI13" s="66">
        <f t="shared" si="35"/>
        <v>594793.45406140201</v>
      </c>
      <c r="AJ13">
        <f t="shared" si="10"/>
        <v>6.4338013034100268</v>
      </c>
      <c r="AK13">
        <f t="shared" si="11"/>
        <v>2.6128801273856328</v>
      </c>
      <c r="AL13">
        <f t="shared" si="36"/>
        <v>777061.99800804828</v>
      </c>
      <c r="AM13" s="66">
        <f>EDisponible!F26</f>
        <v>0.15745310399953094</v>
      </c>
      <c r="AN13" s="66">
        <f t="shared" si="37"/>
        <v>-0.6425468960004691</v>
      </c>
      <c r="AO13" s="66">
        <f>IF(AN13&lt;0, 0, 0.00035*(10*AN13/((1/COS(M$1))-0.8))^(3/(1+1/(DATOS!E$6))))</f>
        <v>0</v>
      </c>
      <c r="AP13" s="66">
        <f t="shared" si="38"/>
        <v>777061.99800804828</v>
      </c>
      <c r="AQ13" s="66">
        <f t="shared" si="39"/>
        <v>501966.80633873184</v>
      </c>
      <c r="AR13">
        <f t="shared" si="12"/>
        <v>7.6235775985108702</v>
      </c>
      <c r="AS13">
        <f t="shared" si="13"/>
        <v>3.6633091623791811</v>
      </c>
      <c r="AT13">
        <f t="shared" si="40"/>
        <v>919429.8004354462</v>
      </c>
      <c r="AU13" s="66">
        <f>EDisponible!G26</f>
        <v>0.16062738878409338</v>
      </c>
      <c r="AV13" s="66">
        <f t="shared" si="41"/>
        <v>-0.63937261121590661</v>
      </c>
      <c r="AW13" s="66">
        <f>IF(AV13&lt;0, 0, 0.00035*(10*AV13/((1/COS(M$1))-0.8))^(3/(1+1/(DATOS!E$6))))</f>
        <v>0</v>
      </c>
      <c r="AX13" s="66">
        <f t="shared" si="14"/>
        <v>919429.8004354462</v>
      </c>
      <c r="AY13" s="66">
        <f t="shared" si="42"/>
        <v>420652.45565331774</v>
      </c>
      <c r="AZ13">
        <f t="shared" si="15"/>
        <v>9.0972555813482696</v>
      </c>
      <c r="BA13">
        <f t="shared" si="16"/>
        <v>5.2109050390095808</v>
      </c>
      <c r="BB13">
        <f t="shared" si="43"/>
        <v>1095990.0004178139</v>
      </c>
      <c r="BC13" s="66">
        <f>EDisponible!H26</f>
        <v>0.16400173688372222</v>
      </c>
      <c r="BD13" s="66">
        <f t="shared" si="44"/>
        <v>-0.63599826311627783</v>
      </c>
      <c r="BE13" s="66">
        <f>IF(BD13&lt;0, 0, 0.00035*(10*BD13/((1/COS(M$1))-0.8))^(3/(1+1/(DATOS!E$6))))</f>
        <v>0</v>
      </c>
      <c r="BF13" s="66">
        <f t="shared" si="17"/>
        <v>1095990.0004178139</v>
      </c>
      <c r="BG13" s="66">
        <f t="shared" si="45"/>
        <v>349821.2735062053</v>
      </c>
      <c r="BH13">
        <f t="shared" si="18"/>
        <v>10.939251525914187</v>
      </c>
      <c r="BI13">
        <f t="shared" si="19"/>
        <v>7.528874656971519</v>
      </c>
      <c r="BJ13">
        <f t="shared" si="46"/>
        <v>1316880.2602851856</v>
      </c>
      <c r="BK13" s="66">
        <f>EDisponible!I26</f>
        <v>0.16759808720553696</v>
      </c>
      <c r="BL13" s="66">
        <f t="shared" si="47"/>
        <v>-0.63240191279446312</v>
      </c>
      <c r="BM13" s="66">
        <f>IF(BL13&lt;0, 0, 0.00035*(10*BL13/((1/COS(M$1))-0.8))^(3/(1+1/(DATOS!E$6))))</f>
        <v>0</v>
      </c>
      <c r="BN13" s="66">
        <f t="shared" si="20"/>
        <v>1316880.2602851856</v>
      </c>
    </row>
    <row r="14" spans="1:70">
      <c r="A14" s="41">
        <f>EDisponible!A27</f>
        <v>55</v>
      </c>
      <c r="B14" s="44"/>
      <c r="C14">
        <f t="shared" si="0"/>
        <v>1335483.1490025318</v>
      </c>
      <c r="D14">
        <f t="shared" si="1"/>
        <v>2.8654670055988447</v>
      </c>
      <c r="E14">
        <f t="shared" si="2"/>
        <v>0.52881461155153908</v>
      </c>
      <c r="F14">
        <f t="shared" si="3"/>
        <v>353111.50133669999</v>
      </c>
      <c r="G14" s="66">
        <f>EDisponible!B27</f>
        <v>0.16105160068297067</v>
      </c>
      <c r="H14" s="66">
        <f t="shared" si="21"/>
        <v>-0.6389483993170294</v>
      </c>
      <c r="I14" s="66">
        <f>IF(H14&lt;0, 0, 0.00035*(10*H14/((1/COS(M$1))-0.8))^(3/(1+1/(DATOS!E$6))))</f>
        <v>0</v>
      </c>
      <c r="J14" s="66">
        <f t="shared" si="22"/>
        <v>353111.50133669999</v>
      </c>
      <c r="K14" s="66">
        <f t="shared" si="23"/>
        <v>1153675.594967878</v>
      </c>
      <c r="L14" s="11">
        <f t="shared" si="4"/>
        <v>3.3170354965396927</v>
      </c>
      <c r="M14">
        <f t="shared" si="5"/>
        <v>0.70415622002579126</v>
      </c>
      <c r="N14">
        <f t="shared" si="24"/>
        <v>406183.92304429336</v>
      </c>
      <c r="O14" s="66">
        <f>EDisponible!C27</f>
        <v>0.16384747088626636</v>
      </c>
      <c r="P14" s="66">
        <f t="shared" si="25"/>
        <v>-0.63615252911373366</v>
      </c>
      <c r="Q14" s="66">
        <f>IF(P14&lt;0, 0, 0.00035*(10*P14/((1/COS(M$1))-0.8))^(3/(1+1/(DATOS!E$6))))</f>
        <v>0</v>
      </c>
      <c r="R14" s="66">
        <f t="shared" si="26"/>
        <v>406183.92304429336</v>
      </c>
      <c r="S14" s="66">
        <f t="shared" si="27"/>
        <v>991438.2079751367</v>
      </c>
      <c r="T14">
        <f t="shared" si="6"/>
        <v>3.8598299613806777</v>
      </c>
      <c r="U14">
        <f t="shared" si="7"/>
        <v>0.94881864156542728</v>
      </c>
      <c r="V14">
        <f t="shared" si="28"/>
        <v>470347.5268435154</v>
      </c>
      <c r="W14" s="66">
        <f>EDisponible!D27</f>
        <v>0.16679419632844367</v>
      </c>
      <c r="X14" s="66">
        <f t="shared" si="29"/>
        <v>-0.63320580367155643</v>
      </c>
      <c r="Y14" s="66">
        <f>IF(X14&lt;0, 0, 0.00035*(10*X14/((1/COS(M$1))-0.8))^(3/(1+1/(DATOS!E$6))))</f>
        <v>0</v>
      </c>
      <c r="Z14" s="66">
        <f t="shared" si="30"/>
        <v>470347.5268435154</v>
      </c>
      <c r="AA14" s="66">
        <f t="shared" si="31"/>
        <v>847260.71826668328</v>
      </c>
      <c r="AB14">
        <f t="shared" si="8"/>
        <v>4.5166532774336465</v>
      </c>
      <c r="AC14">
        <f t="shared" si="9"/>
        <v>1.2943658109271265</v>
      </c>
      <c r="AD14">
        <f t="shared" si="32"/>
        <v>548332.65333297756</v>
      </c>
      <c r="AE14" s="66">
        <f>EDisponible!E27</f>
        <v>0.16990585003908651</v>
      </c>
      <c r="AF14" s="66">
        <f t="shared" si="33"/>
        <v>-0.63009414996091351</v>
      </c>
      <c r="AG14" s="66">
        <f>IF(AF14&lt;0, 0, 0.00035*(10*AF14/((1/COS(M$1))-0.8))^(3/(1+1/(DATOS!E$6))))</f>
        <v>0</v>
      </c>
      <c r="AH14" s="66">
        <f t="shared" si="34"/>
        <v>548332.65333297756</v>
      </c>
      <c r="AI14" s="66">
        <f t="shared" si="35"/>
        <v>719700.07941429643</v>
      </c>
      <c r="AJ14">
        <f t="shared" si="10"/>
        <v>5.3171911598429977</v>
      </c>
      <c r="AK14">
        <f t="shared" si="11"/>
        <v>1.7887929222277461</v>
      </c>
      <c r="AL14">
        <f t="shared" si="36"/>
        <v>643697.20409152017</v>
      </c>
      <c r="AM14" s="66">
        <f>EDisponible!F27</f>
        <v>0.17319841439948405</v>
      </c>
      <c r="AN14" s="66">
        <f t="shared" si="37"/>
        <v>-0.62680158560051602</v>
      </c>
      <c r="AO14" s="66">
        <f>IF(AN14&lt;0, 0, 0.00035*(10*AN14/((1/COS(M$1))-0.8))^(3/(1+1/(DATOS!E$6))))</f>
        <v>0</v>
      </c>
      <c r="AP14" s="66">
        <f t="shared" si="38"/>
        <v>643697.20409152017</v>
      </c>
      <c r="AQ14" s="66">
        <f t="shared" si="39"/>
        <v>607379.83566986548</v>
      </c>
      <c r="AR14">
        <f t="shared" si="12"/>
        <v>6.3004773541412158</v>
      </c>
      <c r="AS14">
        <f t="shared" si="13"/>
        <v>2.5062500870344864</v>
      </c>
      <c r="AT14">
        <f t="shared" si="40"/>
        <v>761122.88300529623</v>
      </c>
      <c r="AU14" s="66">
        <f>EDisponible!G27</f>
        <v>0.17669012766250272</v>
      </c>
      <c r="AV14" s="66">
        <f t="shared" si="41"/>
        <v>-0.62330987233749735</v>
      </c>
      <c r="AW14" s="66">
        <f>IF(AV14&lt;0, 0, 0.00035*(10*AV14/((1/COS(M$1))-0.8))^(3/(1+1/(DATOS!E$6))))</f>
        <v>0</v>
      </c>
      <c r="AX14" s="66">
        <f t="shared" si="14"/>
        <v>761122.88300529623</v>
      </c>
      <c r="AY14" s="66">
        <f t="shared" si="42"/>
        <v>508989.47134051454</v>
      </c>
      <c r="AZ14">
        <f t="shared" si="15"/>
        <v>7.5183930424365855</v>
      </c>
      <c r="BA14">
        <f t="shared" si="16"/>
        <v>3.56327889424055</v>
      </c>
      <c r="BB14">
        <f t="shared" si="43"/>
        <v>906835.72030915541</v>
      </c>
      <c r="BC14" s="66">
        <f>EDisponible!H27</f>
        <v>0.18040191057209443</v>
      </c>
      <c r="BD14" s="66">
        <f t="shared" si="44"/>
        <v>-0.61959808942790562</v>
      </c>
      <c r="BE14" s="66">
        <f>IF(BD14&lt;0, 0, 0.00035*(10*BD14/((1/COS(M$1))-0.8))^(3/(1+1/(DATOS!E$6))))</f>
        <v>0</v>
      </c>
      <c r="BF14" s="66">
        <f t="shared" si="17"/>
        <v>906835.72030915541</v>
      </c>
      <c r="BG14" s="66">
        <f t="shared" si="45"/>
        <v>423283.74094250839</v>
      </c>
      <c r="BH14">
        <f t="shared" si="18"/>
        <v>9.0407037404249486</v>
      </c>
      <c r="BI14">
        <f t="shared" si="19"/>
        <v>5.1464833324359871</v>
      </c>
      <c r="BJ14">
        <f t="shared" si="46"/>
        <v>1089211.3588258859</v>
      </c>
      <c r="BK14" s="66">
        <f>EDisponible!I27</f>
        <v>0.18435789592609067</v>
      </c>
      <c r="BL14" s="66">
        <f t="shared" si="47"/>
        <v>-0.6156421040739094</v>
      </c>
      <c r="BM14" s="66">
        <f>IF(BL14&lt;0, 0, 0.00035*(10*BL14/((1/COS(M$1))-0.8))^(3/(1+1/(DATOS!E$6))))</f>
        <v>0</v>
      </c>
      <c r="BN14" s="66">
        <f t="shared" si="20"/>
        <v>1089211.3588258859</v>
      </c>
    </row>
    <row r="15" spans="1:70">
      <c r="A15" s="41">
        <f>EDisponible!A28</f>
        <v>60</v>
      </c>
      <c r="B15" s="44"/>
      <c r="C15">
        <f t="shared" si="0"/>
        <v>1589335.3178211949</v>
      </c>
      <c r="D15">
        <f t="shared" si="1"/>
        <v>2.40778824776014</v>
      </c>
      <c r="E15">
        <f t="shared" si="2"/>
        <v>0.37723646063604188</v>
      </c>
      <c r="F15">
        <f t="shared" si="3"/>
        <v>299777.61502936314</v>
      </c>
      <c r="G15" s="66">
        <f>EDisponible!B28</f>
        <v>0.17569265529051345</v>
      </c>
      <c r="H15" s="66">
        <f t="shared" si="21"/>
        <v>-0.62430734470948657</v>
      </c>
      <c r="I15" s="66">
        <f>IF(H15&lt;0, 0, 0.00035*(10*H15/((1/COS(M$1))-0.8))^(3/(1+1/(DATOS!E$6))))</f>
        <v>0</v>
      </c>
      <c r="J15" s="66">
        <f t="shared" si="22"/>
        <v>299777.61502936314</v>
      </c>
      <c r="K15" s="66">
        <f t="shared" si="23"/>
        <v>1372969.3031022681</v>
      </c>
      <c r="L15" s="11">
        <f t="shared" si="4"/>
        <v>2.7872312158423802</v>
      </c>
      <c r="M15">
        <f t="shared" si="5"/>
        <v>0.50103933918887389</v>
      </c>
      <c r="N15">
        <f t="shared" si="24"/>
        <v>343955.81617648457</v>
      </c>
      <c r="O15" s="66">
        <f>EDisponible!C28</f>
        <v>0.17874269551229055</v>
      </c>
      <c r="P15" s="66">
        <f t="shared" si="25"/>
        <v>-0.62125730448770944</v>
      </c>
      <c r="Q15" s="66">
        <f>IF(P15&lt;0, 0, 0.00035*(10*P15/((1/COS(M$1))-0.8))^(3/(1+1/(DATOS!E$6))))</f>
        <v>0</v>
      </c>
      <c r="R15" s="66">
        <f t="shared" si="26"/>
        <v>343955.81617648457</v>
      </c>
      <c r="S15" s="66">
        <f t="shared" si="27"/>
        <v>1179893.4045323941</v>
      </c>
      <c r="T15">
        <f t="shared" si="6"/>
        <v>3.2433293425490417</v>
      </c>
      <c r="U15">
        <f t="shared" si="7"/>
        <v>0.67378733850223305</v>
      </c>
      <c r="V15">
        <f t="shared" si="28"/>
        <v>397498.61837811023</v>
      </c>
      <c r="W15" s="66">
        <f>EDisponible!D28</f>
        <v>0.18195730508557489</v>
      </c>
      <c r="X15" s="66">
        <f t="shared" si="29"/>
        <v>-0.61804269491442509</v>
      </c>
      <c r="Y15" s="66">
        <f>IF(X15&lt;0, 0, 0.00035*(10*X15/((1/COS(M$1))-0.8))^(3/(1+1/(DATOS!E$6))))</f>
        <v>0</v>
      </c>
      <c r="Z15" s="66">
        <f t="shared" si="30"/>
        <v>397498.61837811023</v>
      </c>
      <c r="AA15" s="66">
        <f t="shared" si="31"/>
        <v>1008310.2762843173</v>
      </c>
      <c r="AB15">
        <f t="shared" si="8"/>
        <v>3.7952433789546616</v>
      </c>
      <c r="AC15">
        <f t="shared" si="9"/>
        <v>0.91776670321214049</v>
      </c>
      <c r="AD15">
        <f t="shared" si="32"/>
        <v>462696.79904019018</v>
      </c>
      <c r="AE15" s="66">
        <f>EDisponible!E28</f>
        <v>0.1853518364062762</v>
      </c>
      <c r="AF15" s="66">
        <f t="shared" si="33"/>
        <v>-0.61464816359372387</v>
      </c>
      <c r="AG15" s="66">
        <f>IF(AF15&lt;0, 0, 0.00035*(10*AF15/((1/COS(M$1))-0.8))^(3/(1+1/(DATOS!E$6))))</f>
        <v>0</v>
      </c>
      <c r="AH15" s="66">
        <f t="shared" si="34"/>
        <v>462696.79904019018</v>
      </c>
      <c r="AI15" s="66">
        <f t="shared" si="35"/>
        <v>856502.57384841889</v>
      </c>
      <c r="AJ15">
        <f t="shared" si="10"/>
        <v>4.467917571812519</v>
      </c>
      <c r="AK15">
        <f t="shared" si="11"/>
        <v>1.2668652437480379</v>
      </c>
      <c r="AL15">
        <f t="shared" si="36"/>
        <v>542536.67099464952</v>
      </c>
      <c r="AM15" s="66">
        <f>EDisponible!F28</f>
        <v>0.18894372479943713</v>
      </c>
      <c r="AN15" s="66">
        <f t="shared" si="37"/>
        <v>-0.61105627520056294</v>
      </c>
      <c r="AO15" s="66">
        <f>IF(AN15&lt;0, 0, 0.00035*(10*AN15/((1/COS(M$1))-0.8))^(3/(1+1/(DATOS!E$6))))</f>
        <v>0</v>
      </c>
      <c r="AP15" s="66">
        <f t="shared" si="38"/>
        <v>542536.67099464952</v>
      </c>
      <c r="AQ15" s="66">
        <f t="shared" si="39"/>
        <v>722832.20112777385</v>
      </c>
      <c r="AR15">
        <f t="shared" si="12"/>
        <v>5.2941511100769931</v>
      </c>
      <c r="AS15">
        <f t="shared" si="13"/>
        <v>1.773437887938599</v>
      </c>
      <c r="AT15">
        <f t="shared" si="40"/>
        <v>640949.00605102396</v>
      </c>
      <c r="AU15" s="66">
        <f>EDisponible!G28</f>
        <v>0.19275286654091206</v>
      </c>
      <c r="AV15" s="66">
        <f t="shared" si="41"/>
        <v>-0.60724713345908798</v>
      </c>
      <c r="AW15" s="66">
        <f>IF(AV15&lt;0, 0, 0.00035*(10*AV15/((1/COS(M$1))-0.8))^(3/(1+1/(DATOS!E$6))))</f>
        <v>0</v>
      </c>
      <c r="AX15" s="66">
        <f t="shared" si="14"/>
        <v>640949.00605102396</v>
      </c>
      <c r="AY15" s="66">
        <f t="shared" si="42"/>
        <v>605739.53614077764</v>
      </c>
      <c r="AZ15">
        <f t="shared" si="15"/>
        <v>6.3175385981585199</v>
      </c>
      <c r="BA15">
        <f t="shared" si="16"/>
        <v>2.5197707759740924</v>
      </c>
      <c r="BB15">
        <f t="shared" si="43"/>
        <v>763162.39050981705</v>
      </c>
      <c r="BC15" s="66">
        <f>EDisponible!H28</f>
        <v>0.19680208426046666</v>
      </c>
      <c r="BD15" s="66">
        <f t="shared" si="44"/>
        <v>-0.60319791573953341</v>
      </c>
      <c r="BE15" s="66">
        <f>IF(BD15&lt;0, 0, 0.00035*(10*BD15/((1/COS(M$1))-0.8))^(3/(1+1/(DATOS!E$6))))</f>
        <v>0</v>
      </c>
      <c r="BF15" s="66">
        <f t="shared" si="17"/>
        <v>763162.39050981705</v>
      </c>
      <c r="BG15" s="66">
        <f t="shared" si="45"/>
        <v>503742.63384893554</v>
      </c>
      <c r="BH15">
        <f t="shared" si="18"/>
        <v>7.59670244855152</v>
      </c>
      <c r="BI15">
        <f t="shared" si="19"/>
        <v>3.6376187784634544</v>
      </c>
      <c r="BJ15">
        <f t="shared" si="46"/>
        <v>916211.83220076398</v>
      </c>
      <c r="BK15" s="66">
        <f>EDisponible!I28</f>
        <v>0.20111770464664436</v>
      </c>
      <c r="BL15" s="66">
        <f t="shared" si="47"/>
        <v>-0.59888229535335569</v>
      </c>
      <c r="BM15" s="66">
        <f>IF(BL15&lt;0, 0, 0.00035*(10*BL15/((1/COS(M$1))-0.8))^(3/(1+1/(DATOS!E$6))))</f>
        <v>0</v>
      </c>
      <c r="BN15" s="66">
        <f t="shared" si="20"/>
        <v>916211.83220076398</v>
      </c>
    </row>
    <row r="16" spans="1:70">
      <c r="A16" s="41">
        <f>EDisponible!A29</f>
        <v>65</v>
      </c>
      <c r="B16" s="44"/>
      <c r="C16">
        <f t="shared" si="0"/>
        <v>1865261.5882762636</v>
      </c>
      <c r="D16">
        <f t="shared" si="1"/>
        <v>2.0516065543044979</v>
      </c>
      <c r="E16">
        <f t="shared" si="2"/>
        <v>0.27747918673618815</v>
      </c>
      <c r="F16">
        <f t="shared" si="3"/>
        <v>258785.63428257412</v>
      </c>
      <c r="G16" s="66">
        <f>EDisponible!B29</f>
        <v>0.19033370989805626</v>
      </c>
      <c r="H16" s="66">
        <f t="shared" si="21"/>
        <v>-0.60966629010194384</v>
      </c>
      <c r="I16" s="66">
        <f>IF(H16&lt;0, 0, 0.00035*(10*H16/((1/COS(M$1))-0.8))^(3/(1+1/(DATOS!E$6))))</f>
        <v>0</v>
      </c>
      <c r="J16" s="66">
        <f t="shared" si="22"/>
        <v>258785.63428257412</v>
      </c>
      <c r="K16" s="66">
        <f t="shared" si="23"/>
        <v>1611332.0293353009</v>
      </c>
      <c r="L16" s="11">
        <f t="shared" si="4"/>
        <v>2.374918905806525</v>
      </c>
      <c r="M16">
        <f t="shared" si="5"/>
        <v>0.36736317152914094</v>
      </c>
      <c r="N16">
        <f t="shared" si="24"/>
        <v>295972.02234155143</v>
      </c>
      <c r="O16" s="66">
        <f>EDisponible!C29</f>
        <v>0.19363792013831477</v>
      </c>
      <c r="P16" s="66">
        <f t="shared" si="25"/>
        <v>-0.60636207986168533</v>
      </c>
      <c r="Q16" s="66">
        <f>IF(P16&lt;0, 0, 0.00035*(10*P16/((1/COS(M$1))-0.8))^(3/(1+1/(DATOS!E$6))))</f>
        <v>0</v>
      </c>
      <c r="R16" s="66">
        <f t="shared" si="26"/>
        <v>295972.02234155143</v>
      </c>
      <c r="S16" s="66">
        <f t="shared" si="27"/>
        <v>1384736.0094859346</v>
      </c>
      <c r="T16">
        <f t="shared" si="6"/>
        <v>2.7635468954264026</v>
      </c>
      <c r="U16">
        <f t="shared" si="7"/>
        <v>0.49278253757941293</v>
      </c>
      <c r="V16">
        <f t="shared" si="28"/>
        <v>341186.86231603444</v>
      </c>
      <c r="W16" s="66">
        <f>EDisponible!D29</f>
        <v>0.19712041384270615</v>
      </c>
      <c r="X16" s="66">
        <f t="shared" si="29"/>
        <v>-0.60287958615729387</v>
      </c>
      <c r="Y16" s="66">
        <f>IF(X16&lt;0, 0, 0.00035*(10*X16/((1/COS(M$1))-0.8))^(3/(1+1/(DATOS!E$6))))</f>
        <v>0</v>
      </c>
      <c r="Z16" s="66">
        <f t="shared" si="30"/>
        <v>341186.86231603444</v>
      </c>
      <c r="AA16" s="66">
        <f t="shared" si="31"/>
        <v>1183364.1436947891</v>
      </c>
      <c r="AB16">
        <f t="shared" si="8"/>
        <v>3.2338168436063381</v>
      </c>
      <c r="AC16">
        <f t="shared" si="9"/>
        <v>0.66991765562936334</v>
      </c>
      <c r="AD16">
        <f t="shared" si="32"/>
        <v>396378.26644993108</v>
      </c>
      <c r="AE16" s="66">
        <f>EDisponible!E29</f>
        <v>0.20079782277346589</v>
      </c>
      <c r="AF16" s="66">
        <f t="shared" si="33"/>
        <v>-0.59920217722653413</v>
      </c>
      <c r="AG16" s="66">
        <f>IF(AF16&lt;0, 0, 0.00035*(10*AF16/((1/COS(M$1))-0.8))^(3/(1+1/(DATOS!E$6))))</f>
        <v>0</v>
      </c>
      <c r="AH16" s="66">
        <f t="shared" si="34"/>
        <v>396378.26644993108</v>
      </c>
      <c r="AI16" s="66">
        <f t="shared" si="35"/>
        <v>1005200.9373637693</v>
      </c>
      <c r="AJ16">
        <f t="shared" si="10"/>
        <v>3.8069830197692474</v>
      </c>
      <c r="AK16">
        <f t="shared" si="11"/>
        <v>0.92337192321636585</v>
      </c>
      <c r="AL16">
        <f t="shared" si="36"/>
        <v>464087.16137623868</v>
      </c>
      <c r="AM16" s="66">
        <f>EDisponible!F29</f>
        <v>0.20468903519939025</v>
      </c>
      <c r="AN16" s="66">
        <f t="shared" si="37"/>
        <v>-0.59531096480060985</v>
      </c>
      <c r="AO16" s="66">
        <f>IF(AN16&lt;0, 0, 0.00035*(10*AN16/((1/COS(M$1))-0.8))^(3/(1+1/(DATOS!E$6))))</f>
        <v>0</v>
      </c>
      <c r="AP16" s="66">
        <f t="shared" si="38"/>
        <v>464087.16137623868</v>
      </c>
      <c r="AQ16" s="66">
        <f t="shared" si="39"/>
        <v>848323.90271245688</v>
      </c>
      <c r="AR16">
        <f t="shared" si="12"/>
        <v>4.510992661840751</v>
      </c>
      <c r="AS16">
        <f t="shared" si="13"/>
        <v>1.2911563267714046</v>
      </c>
      <c r="AT16">
        <f t="shared" si="40"/>
        <v>547659.38706929912</v>
      </c>
      <c r="AU16" s="66">
        <f>EDisponible!G29</f>
        <v>0.2088156054193214</v>
      </c>
      <c r="AV16" s="66">
        <f t="shared" si="41"/>
        <v>-0.59118439458067862</v>
      </c>
      <c r="AW16" s="66">
        <f>IF(AV16&lt;0, 0, 0.00035*(10*AV16/((1/COS(M$1))-0.8))^(3/(1+1/(DATOS!E$6))))</f>
        <v>0</v>
      </c>
      <c r="AX16" s="66">
        <f t="shared" si="14"/>
        <v>547659.38706929912</v>
      </c>
      <c r="AY16" s="66">
        <f t="shared" si="42"/>
        <v>710902.65005410707</v>
      </c>
      <c r="AZ16">
        <f t="shared" si="15"/>
        <v>5.3829914682534135</v>
      </c>
      <c r="BA16">
        <f t="shared" si="16"/>
        <v>1.8330126611540944</v>
      </c>
      <c r="BB16">
        <f t="shared" si="43"/>
        <v>651546.77919858834</v>
      </c>
      <c r="BC16" s="66">
        <f>EDisponible!H29</f>
        <v>0.21320225794883887</v>
      </c>
      <c r="BD16" s="66">
        <f t="shared" si="44"/>
        <v>-0.5867977420511612</v>
      </c>
      <c r="BE16" s="66">
        <f>IF(BD16&lt;0, 0, 0.00035*(10*BD16/((1/COS(M$1))-0.8))^(3/(1+1/(DATOS!E$6))))</f>
        <v>0</v>
      </c>
      <c r="BF16" s="66">
        <f t="shared" si="17"/>
        <v>651546.77919858834</v>
      </c>
      <c r="BG16" s="66">
        <f t="shared" si="45"/>
        <v>591197.95222548686</v>
      </c>
      <c r="BH16">
        <f t="shared" si="18"/>
        <v>6.4729298969906441</v>
      </c>
      <c r="BI16">
        <f t="shared" si="19"/>
        <v>2.6445982561829591</v>
      </c>
      <c r="BJ16">
        <f t="shared" si="46"/>
        <v>781740.53675722948</v>
      </c>
      <c r="BK16" s="66">
        <f>EDisponible!I29</f>
        <v>0.21787751336719804</v>
      </c>
      <c r="BL16" s="66">
        <f t="shared" si="47"/>
        <v>-0.58212248663280197</v>
      </c>
      <c r="BM16" s="66">
        <f>IF(BL16&lt;0, 0, 0.00035*(10*BL16/((1/COS(M$1))-0.8))^(3/(1+1/(DATOS!E$6))))</f>
        <v>0</v>
      </c>
      <c r="BN16" s="66">
        <f t="shared" si="20"/>
        <v>781740.53675722948</v>
      </c>
    </row>
    <row r="17" spans="1:66">
      <c r="A17" s="41">
        <f>EDisponible!A30</f>
        <v>70</v>
      </c>
      <c r="B17" s="44"/>
      <c r="C17">
        <f t="shared" si="0"/>
        <v>2163261.9603677378</v>
      </c>
      <c r="D17">
        <f t="shared" si="1"/>
        <v>1.7689872840686742</v>
      </c>
      <c r="E17">
        <f t="shared" si="2"/>
        <v>0.20966357301662017</v>
      </c>
      <c r="F17">
        <f t="shared" si="3"/>
        <v>226778.61599081903</v>
      </c>
      <c r="G17" s="66">
        <f>EDisponible!B30</f>
        <v>0.20497476450559904</v>
      </c>
      <c r="H17" s="66">
        <f t="shared" si="21"/>
        <v>-0.59502523549440101</v>
      </c>
      <c r="I17" s="66">
        <f>IF(H17&lt;0, 0, 0.00035*(10*H17/((1/COS(M$1))-0.8))^(3/(1+1/(DATOS!E$6))))</f>
        <v>0</v>
      </c>
      <c r="J17" s="66">
        <f t="shared" si="22"/>
        <v>226778.61599081903</v>
      </c>
      <c r="K17" s="66">
        <f t="shared" si="23"/>
        <v>1868763.7736669763</v>
      </c>
      <c r="L17" s="11">
        <f t="shared" si="4"/>
        <v>2.0477617095984835</v>
      </c>
      <c r="M17">
        <f t="shared" si="5"/>
        <v>0.27648928338916096</v>
      </c>
      <c r="N17">
        <f t="shared" si="24"/>
        <v>258346.57830240321</v>
      </c>
      <c r="O17" s="66">
        <f>EDisponible!C30</f>
        <v>0.20853314476433898</v>
      </c>
      <c r="P17" s="66">
        <f t="shared" si="25"/>
        <v>-0.591466855235661</v>
      </c>
      <c r="Q17" s="66">
        <f>IF(P17&lt;0, 0, 0.00035*(10*P17/((1/COS(M$1))-0.8))^(3/(1+1/(DATOS!E$6))))</f>
        <v>0</v>
      </c>
      <c r="R17" s="66">
        <f t="shared" si="26"/>
        <v>258346.57830240321</v>
      </c>
      <c r="S17" s="66">
        <f t="shared" si="27"/>
        <v>1605966.0228357587</v>
      </c>
      <c r="T17">
        <f t="shared" si="6"/>
        <v>2.3828542108523569</v>
      </c>
      <c r="U17">
        <f t="shared" si="7"/>
        <v>0.36973435090690898</v>
      </c>
      <c r="V17">
        <f t="shared" si="28"/>
        <v>296890.4025158647</v>
      </c>
      <c r="W17" s="66">
        <f>EDisponible!D30</f>
        <v>0.21228352259983738</v>
      </c>
      <c r="X17" s="66">
        <f t="shared" si="29"/>
        <v>-0.58771647740016264</v>
      </c>
      <c r="Y17" s="66">
        <f>IF(X17&lt;0, 0, 0.00035*(10*X17/((1/COS(M$1))-0.8))^(3/(1+1/(DATOS!E$6))))</f>
        <v>0</v>
      </c>
      <c r="Z17" s="66">
        <f t="shared" si="30"/>
        <v>296890.4025158647</v>
      </c>
      <c r="AA17" s="66">
        <f t="shared" si="31"/>
        <v>1372422.3204980986</v>
      </c>
      <c r="AB17">
        <f t="shared" si="8"/>
        <v>2.7883420743340368</v>
      </c>
      <c r="AC17">
        <f t="shared" si="9"/>
        <v>0.50142833535673825</v>
      </c>
      <c r="AD17">
        <f t="shared" si="32"/>
        <v>344085.71978689678</v>
      </c>
      <c r="AE17" s="66">
        <f>EDisponible!E30</f>
        <v>0.21624380914065555</v>
      </c>
      <c r="AF17" s="66">
        <f t="shared" si="33"/>
        <v>-0.58375619085934449</v>
      </c>
      <c r="AG17" s="66">
        <f>IF(AF17&lt;0, 0, 0.00035*(10*AF17/((1/COS(M$1))-0.8))^(3/(1+1/(DATOS!E$6))))</f>
        <v>0</v>
      </c>
      <c r="AH17" s="66">
        <f t="shared" si="34"/>
        <v>344085.71978689678</v>
      </c>
      <c r="AI17" s="66">
        <f t="shared" si="35"/>
        <v>1165795.1699603479</v>
      </c>
      <c r="AJ17">
        <f t="shared" si="10"/>
        <v>3.2825516854132792</v>
      </c>
      <c r="AK17">
        <f t="shared" si="11"/>
        <v>0.68986303278885952</v>
      </c>
      <c r="AL17">
        <f t="shared" si="36"/>
        <v>402119.49577972479</v>
      </c>
      <c r="AM17" s="66">
        <f>EDisponible!F30</f>
        <v>0.22043434559934333</v>
      </c>
      <c r="AN17" s="66">
        <f t="shared" si="37"/>
        <v>-0.57956565440065666</v>
      </c>
      <c r="AO17" s="66">
        <f>IF(AN17&lt;0, 0, 0.00035*(10*AN17/((1/COS(M$1))-0.8))^(3/(1+1/(DATOS!E$6))))</f>
        <v>0</v>
      </c>
      <c r="AP17" s="66">
        <f t="shared" si="38"/>
        <v>402119.49577972479</v>
      </c>
      <c r="AQ17" s="66">
        <f t="shared" si="39"/>
        <v>983854.94042391435</v>
      </c>
      <c r="AR17">
        <f t="shared" si="12"/>
        <v>3.8895804074035056</v>
      </c>
      <c r="AS17">
        <f t="shared" si="13"/>
        <v>0.96329832927822556</v>
      </c>
      <c r="AT17">
        <f t="shared" si="40"/>
        <v>473872.91018124239</v>
      </c>
      <c r="AU17" s="66">
        <f>EDisponible!G30</f>
        <v>0.22487834429773074</v>
      </c>
      <c r="AV17" s="66">
        <f t="shared" si="41"/>
        <v>-0.57512165570226936</v>
      </c>
      <c r="AW17" s="66">
        <f>IF(AV17&lt;0, 0, 0.00035*(10*AV17/((1/COS(M$1))-0.8))^(3/(1+1/(DATOS!E$6))))</f>
        <v>0</v>
      </c>
      <c r="AX17" s="66">
        <f t="shared" si="14"/>
        <v>473872.91018124239</v>
      </c>
      <c r="AY17" s="66">
        <f t="shared" si="42"/>
        <v>824478.81308050279</v>
      </c>
      <c r="AZ17">
        <f t="shared" si="15"/>
        <v>4.6414569292593209</v>
      </c>
      <c r="BA17">
        <f t="shared" si="16"/>
        <v>1.3661502338571507</v>
      </c>
      <c r="BB17">
        <f t="shared" si="43"/>
        <v>563180.96165009751</v>
      </c>
      <c r="BC17" s="66">
        <f>EDisponible!H30</f>
        <v>0.22960243163721111</v>
      </c>
      <c r="BD17" s="66">
        <f t="shared" si="44"/>
        <v>-0.57039756836278888</v>
      </c>
      <c r="BE17" s="66">
        <f>IF(BD17&lt;0, 0, 0.00035*(10*BD17/((1/COS(M$1))-0.8))^(3/(1+1/(DATOS!E$6))))</f>
        <v>0</v>
      </c>
      <c r="BF17" s="66">
        <f t="shared" si="17"/>
        <v>563180.96165009751</v>
      </c>
      <c r="BG17" s="66">
        <f t="shared" si="45"/>
        <v>685649.69607216236</v>
      </c>
      <c r="BH17">
        <f t="shared" si="18"/>
        <v>5.5812507785276466</v>
      </c>
      <c r="BI17">
        <f t="shared" si="19"/>
        <v>1.9695367441554479</v>
      </c>
      <c r="BJ17">
        <f t="shared" si="46"/>
        <v>675206.13501656952</v>
      </c>
      <c r="BK17" s="66">
        <f>EDisponible!I30</f>
        <v>0.23463732208775176</v>
      </c>
      <c r="BL17" s="66">
        <f t="shared" si="47"/>
        <v>-0.56536267791224826</v>
      </c>
      <c r="BM17" s="66">
        <f>IF(BL17&lt;0, 0, 0.00035*(10*BL17/((1/COS(M$1))-0.8))^(3/(1+1/(DATOS!E$6))))</f>
        <v>0</v>
      </c>
      <c r="BN17" s="66">
        <f t="shared" si="20"/>
        <v>675206.13501656952</v>
      </c>
    </row>
    <row r="18" spans="1:66">
      <c r="A18" s="41">
        <f>EDisponible!A31</f>
        <v>75</v>
      </c>
      <c r="B18" s="44"/>
      <c r="C18">
        <f t="shared" si="0"/>
        <v>2483336.4340956169</v>
      </c>
      <c r="D18">
        <f t="shared" si="1"/>
        <v>1.5409844785664897</v>
      </c>
      <c r="E18">
        <f t="shared" si="2"/>
        <v>0.1622654073563439</v>
      </c>
      <c r="F18">
        <f t="shared" si="3"/>
        <v>201479.79904068788</v>
      </c>
      <c r="G18" s="66">
        <f>EDisponible!B31</f>
        <v>0.21961581911314182</v>
      </c>
      <c r="H18" s="66">
        <f t="shared" si="21"/>
        <v>-0.58038418088685817</v>
      </c>
      <c r="I18" s="66">
        <f>IF(H18&lt;0, 0, 0.00035*(10*H18/((1/COS(M$1))-0.8))^(3/(1+1/(DATOS!E$6))))</f>
        <v>0</v>
      </c>
      <c r="J18" s="66">
        <f t="shared" si="22"/>
        <v>201479.79904068788</v>
      </c>
      <c r="K18" s="66">
        <f t="shared" si="23"/>
        <v>2145264.5360972937</v>
      </c>
      <c r="L18" s="11">
        <f t="shared" si="4"/>
        <v>1.7838279781391235</v>
      </c>
      <c r="M18">
        <f t="shared" si="5"/>
        <v>0.21297506641158392</v>
      </c>
      <c r="N18">
        <f t="shared" si="24"/>
        <v>228443.92852286846</v>
      </c>
      <c r="O18" s="66">
        <f>EDisponible!C31</f>
        <v>0.2234283693903632</v>
      </c>
      <c r="P18" s="66">
        <f t="shared" si="25"/>
        <v>-0.5765716306096369</v>
      </c>
      <c r="Q18" s="66">
        <f>IF(P18&lt;0, 0, 0.00035*(10*P18/((1/COS(M$1))-0.8))^(3/(1+1/(DATOS!E$6))))</f>
        <v>0</v>
      </c>
      <c r="R18" s="66">
        <f t="shared" si="26"/>
        <v>228443.92852286846</v>
      </c>
      <c r="S18" s="66">
        <f t="shared" si="27"/>
        <v>1843583.4445818658</v>
      </c>
      <c r="T18">
        <f t="shared" si="6"/>
        <v>2.0757307792313866</v>
      </c>
      <c r="U18">
        <f t="shared" si="7"/>
        <v>0.28373264693033573</v>
      </c>
      <c r="V18">
        <f t="shared" si="28"/>
        <v>261542.40528407934</v>
      </c>
      <c r="W18" s="66">
        <f>EDisponible!D31</f>
        <v>0.22744663135696863</v>
      </c>
      <c r="X18" s="66">
        <f t="shared" si="29"/>
        <v>-0.57255336864303141</v>
      </c>
      <c r="Y18" s="66">
        <f>IF(X18&lt;0, 0, 0.00035*(10*X18/((1/COS(M$1))-0.8))^(3/(1+1/(DATOS!E$6))))</f>
        <v>0</v>
      </c>
      <c r="Z18" s="66">
        <f t="shared" si="30"/>
        <v>261542.40528407934</v>
      </c>
      <c r="AA18" s="66">
        <f t="shared" si="31"/>
        <v>1575484.8066942457</v>
      </c>
      <c r="AB18">
        <f t="shared" si="8"/>
        <v>2.4289557625309834</v>
      </c>
      <c r="AC18">
        <f t="shared" si="9"/>
        <v>0.38366659471551384</v>
      </c>
      <c r="AD18">
        <f t="shared" si="32"/>
        <v>302230.44540520542</v>
      </c>
      <c r="AE18" s="66">
        <f>EDisponible!E31</f>
        <v>0.23168979550784524</v>
      </c>
      <c r="AF18" s="66">
        <f t="shared" si="33"/>
        <v>-0.56831020449215486</v>
      </c>
      <c r="AG18" s="66">
        <f>IF(AF18&lt;0, 0, 0.00035*(10*AF18/((1/COS(M$1))-0.8))^(3/(1+1/(DATOS!E$6))))</f>
        <v>0</v>
      </c>
      <c r="AH18" s="66">
        <f t="shared" si="34"/>
        <v>302230.44540520542</v>
      </c>
      <c r="AI18" s="66">
        <f t="shared" si="35"/>
        <v>1338285.2716381545</v>
      </c>
      <c r="AJ18">
        <f t="shared" si="10"/>
        <v>2.8594672459600119</v>
      </c>
      <c r="AK18">
        <f t="shared" si="11"/>
        <v>0.52665735691901727</v>
      </c>
      <c r="AL18">
        <f t="shared" si="36"/>
        <v>352408.89198229974</v>
      </c>
      <c r="AM18" s="66">
        <f>EDisponible!F31</f>
        <v>0.23617965599929644</v>
      </c>
      <c r="AN18" s="66">
        <f t="shared" si="37"/>
        <v>-0.56382034400070358</v>
      </c>
      <c r="AO18" s="66">
        <f>IF(AN18&lt;0, 0, 0.00035*(10*AN18/((1/COS(M$1))-0.8))^(3/(1+1/(DATOS!E$6))))</f>
        <v>0</v>
      </c>
      <c r="AP18" s="66">
        <f t="shared" si="38"/>
        <v>352408.89198229974</v>
      </c>
      <c r="AQ18" s="66">
        <f t="shared" si="39"/>
        <v>1129425.3142621468</v>
      </c>
      <c r="AR18">
        <f t="shared" si="12"/>
        <v>3.3882567104492751</v>
      </c>
      <c r="AS18">
        <f t="shared" si="13"/>
        <v>0.7341495119794712</v>
      </c>
      <c r="AT18">
        <f t="shared" si="40"/>
        <v>414583.52164140798</v>
      </c>
      <c r="AU18" s="66">
        <f>EDisponible!G31</f>
        <v>0.24094108317614008</v>
      </c>
      <c r="AV18" s="66">
        <f t="shared" si="41"/>
        <v>-0.55905891682386</v>
      </c>
      <c r="AW18" s="66">
        <f>IF(AV18&lt;0, 0, 0.00035*(10*AV18/((1/COS(M$1))-0.8))^(3/(1+1/(DATOS!E$6))))</f>
        <v>0</v>
      </c>
      <c r="AX18" s="66">
        <f t="shared" si="14"/>
        <v>414583.52164140798</v>
      </c>
      <c r="AY18" s="66">
        <f t="shared" si="42"/>
        <v>946468.02521996503</v>
      </c>
      <c r="AZ18">
        <f t="shared" si="15"/>
        <v>4.043224702821453</v>
      </c>
      <c r="BA18">
        <f t="shared" si="16"/>
        <v>1.0398474629188095</v>
      </c>
      <c r="BB18">
        <f t="shared" si="43"/>
        <v>492091.18737937819</v>
      </c>
      <c r="BC18" s="66">
        <f>EDisponible!H31</f>
        <v>0.24600260532558332</v>
      </c>
      <c r="BD18" s="66">
        <f t="shared" si="44"/>
        <v>-0.55399739467441678</v>
      </c>
      <c r="BE18" s="66">
        <f>IF(BD18&lt;0, 0, 0.00035*(10*BD18/((1/COS(M$1))-0.8))^(3/(1+1/(DATOS!E$6))))</f>
        <v>0</v>
      </c>
      <c r="BF18" s="66">
        <f t="shared" si="17"/>
        <v>492091.18737937819</v>
      </c>
      <c r="BG18" s="66">
        <f t="shared" si="45"/>
        <v>787097.86538896186</v>
      </c>
      <c r="BH18">
        <f t="shared" si="18"/>
        <v>4.8618895670729723</v>
      </c>
      <c r="BI18">
        <f t="shared" si="19"/>
        <v>1.4977180047384517</v>
      </c>
      <c r="BJ18">
        <f t="shared" si="46"/>
        <v>589425.32224212517</v>
      </c>
      <c r="BK18" s="66">
        <f>EDisponible!I31</f>
        <v>0.25139713080830545</v>
      </c>
      <c r="BL18" s="66">
        <f t="shared" si="47"/>
        <v>-0.54860286919169465</v>
      </c>
      <c r="BM18" s="66">
        <f>IF(BL18&lt;0, 0, 0.00035*(10*BL18/((1/COS(M$1))-0.8))^(3/(1+1/(DATOS!E$6))))</f>
        <v>0</v>
      </c>
      <c r="BN18" s="66">
        <f t="shared" si="20"/>
        <v>589425.32224212517</v>
      </c>
    </row>
    <row r="19" spans="1:66">
      <c r="A19" s="41">
        <f>EDisponible!A32</f>
        <v>80</v>
      </c>
      <c r="B19" s="44"/>
      <c r="C19">
        <f t="shared" si="0"/>
        <v>2825485.0094599021</v>
      </c>
      <c r="D19">
        <f t="shared" si="1"/>
        <v>1.3543808893650788</v>
      </c>
      <c r="E19">
        <f t="shared" si="2"/>
        <v>0.12833255065481131</v>
      </c>
      <c r="F19">
        <f t="shared" si="3"/>
        <v>181300.84905046143</v>
      </c>
      <c r="G19" s="66">
        <f>EDisponible!B32</f>
        <v>0.23425687372068463</v>
      </c>
      <c r="H19" s="66">
        <f t="shared" si="21"/>
        <v>-0.56574312627931544</v>
      </c>
      <c r="I19" s="66">
        <f>IF(H19&lt;0, 0, 0.00035*(10*H19/((1/COS(M$1))-0.8))^(3/(1+1/(DATOS!E$6))))</f>
        <v>0</v>
      </c>
      <c r="J19" s="66">
        <f t="shared" si="22"/>
        <v>181300.84905046143</v>
      </c>
      <c r="K19" s="66">
        <f t="shared" si="23"/>
        <v>2440834.3166262545</v>
      </c>
      <c r="L19" s="11">
        <f t="shared" si="4"/>
        <v>1.567817558911339</v>
      </c>
      <c r="M19">
        <f t="shared" si="5"/>
        <v>0.16750455519691831</v>
      </c>
      <c r="N19">
        <f t="shared" si="24"/>
        <v>204425.43325792742</v>
      </c>
      <c r="O19" s="66">
        <f>EDisponible!C32</f>
        <v>0.23832359401638742</v>
      </c>
      <c r="P19" s="66">
        <f t="shared" si="25"/>
        <v>-0.56167640598361257</v>
      </c>
      <c r="Q19" s="66">
        <f>IF(P19&lt;0, 0, 0.00035*(10*P19/((1/COS(M$1))-0.8))^(3/(1+1/(DATOS!E$6))))</f>
        <v>0</v>
      </c>
      <c r="R19" s="66">
        <f t="shared" si="26"/>
        <v>204425.43325792742</v>
      </c>
      <c r="S19" s="66">
        <f t="shared" si="27"/>
        <v>2097588.2747242562</v>
      </c>
      <c r="T19">
        <f t="shared" si="6"/>
        <v>1.824372755183836</v>
      </c>
      <c r="U19">
        <f t="shared" si="7"/>
        <v>0.22216310185466084</v>
      </c>
      <c r="V19">
        <f t="shared" si="28"/>
        <v>233003.35876335364</v>
      </c>
      <c r="W19" s="66">
        <f>EDisponible!D32</f>
        <v>0.24260974011409986</v>
      </c>
      <c r="X19" s="66">
        <f t="shared" si="29"/>
        <v>-0.55739025988590019</v>
      </c>
      <c r="Y19" s="66">
        <f>IF(X19&lt;0, 0, 0.00035*(10*X19/((1/COS(M$1))-0.8))^(3/(1+1/(DATOS!E$6))))</f>
        <v>0</v>
      </c>
      <c r="Z19" s="66">
        <f t="shared" si="30"/>
        <v>233003.35876335364</v>
      </c>
      <c r="AA19" s="66">
        <f t="shared" si="31"/>
        <v>1792551.6022832307</v>
      </c>
      <c r="AB19">
        <f t="shared" si="8"/>
        <v>2.134824400661997</v>
      </c>
      <c r="AC19">
        <f t="shared" si="9"/>
        <v>0.29935969771990495</v>
      </c>
      <c r="AD19">
        <f t="shared" si="32"/>
        <v>268308.85290341964</v>
      </c>
      <c r="AE19" s="66">
        <f>EDisponible!E32</f>
        <v>0.24713578187503493</v>
      </c>
      <c r="AF19" s="66">
        <f t="shared" si="33"/>
        <v>-0.55286421812496511</v>
      </c>
      <c r="AG19" s="66">
        <f>IF(AF19&lt;0, 0, 0.00035*(10*AF19/((1/COS(M$1))-0.8))^(3/(1+1/(DATOS!E$6))))</f>
        <v>0</v>
      </c>
      <c r="AH19" s="66">
        <f t="shared" si="34"/>
        <v>268308.85290341964</v>
      </c>
      <c r="AI19" s="66">
        <f t="shared" si="35"/>
        <v>1522671.2423971891</v>
      </c>
      <c r="AJ19">
        <f t="shared" si="10"/>
        <v>2.5132036341445421</v>
      </c>
      <c r="AK19">
        <f t="shared" si="11"/>
        <v>0.4098166578113413</v>
      </c>
      <c r="AL19">
        <f t="shared" si="36"/>
        <v>312008.01975232939</v>
      </c>
      <c r="AM19" s="66">
        <f>EDisponible!F32</f>
        <v>0.25192496639924949</v>
      </c>
      <c r="AN19" s="66">
        <f t="shared" si="37"/>
        <v>-0.54807503360075049</v>
      </c>
      <c r="AO19" s="66">
        <f>IF(AN19&lt;0, 0, 0.00035*(10*AN19/((1/COS(M$1))-0.8))^(3/(1+1/(DATOS!E$6))))</f>
        <v>0</v>
      </c>
      <c r="AP19" s="66">
        <f t="shared" si="38"/>
        <v>312008.01975232939</v>
      </c>
      <c r="AQ19" s="66">
        <f t="shared" si="39"/>
        <v>1285035.0242271535</v>
      </c>
      <c r="AR19">
        <f t="shared" si="12"/>
        <v>2.9779599994183088</v>
      </c>
      <c r="AS19">
        <f t="shared" si="13"/>
        <v>0.57009940851226104</v>
      </c>
      <c r="AT19">
        <f t="shared" si="40"/>
        <v>366298.85361471964</v>
      </c>
      <c r="AU19" s="66">
        <f>EDisponible!G32</f>
        <v>0.25700382205454941</v>
      </c>
      <c r="AV19" s="66">
        <f t="shared" si="41"/>
        <v>-0.54299617794545063</v>
      </c>
      <c r="AW19" s="66">
        <f>IF(AV19&lt;0, 0, 0.00035*(10*AV19/((1/COS(M$1))-0.8))^(3/(1+1/(DATOS!E$6))))</f>
        <v>0</v>
      </c>
      <c r="AX19" s="66">
        <f t="shared" si="14"/>
        <v>366298.85361471964</v>
      </c>
      <c r="AY19" s="66">
        <f t="shared" si="42"/>
        <v>1076870.2864724935</v>
      </c>
      <c r="AZ19">
        <f t="shared" si="15"/>
        <v>3.5536154614641675</v>
      </c>
      <c r="BA19">
        <f t="shared" si="16"/>
        <v>0.80624379886724129</v>
      </c>
      <c r="BB19">
        <f t="shared" si="43"/>
        <v>434109.99532641878</v>
      </c>
      <c r="BC19" s="66">
        <f>EDisponible!H32</f>
        <v>0.26240277901395553</v>
      </c>
      <c r="BD19" s="66">
        <f t="shared" si="44"/>
        <v>-0.53759722098604446</v>
      </c>
      <c r="BE19" s="66">
        <f>IF(BD19&lt;0, 0, 0.00035*(10*BD19/((1/COS(M$1))-0.8))^(3/(1+1/(DATOS!E$6))))</f>
        <v>0</v>
      </c>
      <c r="BF19" s="66">
        <f t="shared" si="17"/>
        <v>434109.99532641878</v>
      </c>
      <c r="BG19" s="66">
        <f t="shared" si="45"/>
        <v>895542.46017588547</v>
      </c>
      <c r="BH19">
        <f t="shared" si="18"/>
        <v>4.2731451273102294</v>
      </c>
      <c r="BI19">
        <f t="shared" si="19"/>
        <v>1.1599378934048907</v>
      </c>
      <c r="BJ19">
        <f t="shared" si="46"/>
        <v>519386.81735552492</v>
      </c>
      <c r="BK19" s="66">
        <f>EDisponible!I32</f>
        <v>0.26815693952885916</v>
      </c>
      <c r="BL19" s="66">
        <f t="shared" si="47"/>
        <v>-0.53184306047114083</v>
      </c>
      <c r="BM19" s="66">
        <f>IF(BL19&lt;0, 0, 0.00035*(10*BL19/((1/COS(M$1))-0.8))^(3/(1+1/(DATOS!E$6))))</f>
        <v>0</v>
      </c>
      <c r="BN19" s="66">
        <f t="shared" si="20"/>
        <v>519386.81735552492</v>
      </c>
    </row>
    <row r="20" spans="1:66">
      <c r="A20" s="41">
        <f>EDisponible!A33</f>
        <v>85</v>
      </c>
      <c r="B20" s="44"/>
      <c r="C20">
        <f t="shared" si="0"/>
        <v>3189707.6864605928</v>
      </c>
      <c r="D20">
        <f t="shared" si="1"/>
        <v>1.1997284002680282</v>
      </c>
      <c r="E20">
        <f t="shared" si="2"/>
        <v>0.10352445397411286</v>
      </c>
      <c r="F20">
        <f t="shared" si="3"/>
        <v>165106.37328893182</v>
      </c>
      <c r="G20" s="66">
        <f>EDisponible!B33</f>
        <v>0.24889792832822741</v>
      </c>
      <c r="H20" s="66">
        <f t="shared" si="21"/>
        <v>-0.55110207167177261</v>
      </c>
      <c r="I20" s="66">
        <f>IF(H20&lt;0, 0, 0.00035*(10*H20/((1/COS(M$1))-0.8))^(3/(1+1/(DATOS!E$6))))</f>
        <v>0</v>
      </c>
      <c r="J20" s="66">
        <f t="shared" si="22"/>
        <v>165106.37328893182</v>
      </c>
      <c r="K20" s="66">
        <f t="shared" si="23"/>
        <v>2755473.1152538573</v>
      </c>
      <c r="L20" s="11">
        <f t="shared" si="4"/>
        <v>1.3887934085858229</v>
      </c>
      <c r="M20">
        <f t="shared" si="5"/>
        <v>0.1342613523550174</v>
      </c>
      <c r="N20">
        <f t="shared" si="24"/>
        <v>184976.77341593782</v>
      </c>
      <c r="O20" s="66">
        <f>EDisponible!C33</f>
        <v>0.25321881864241164</v>
      </c>
      <c r="P20" s="66">
        <f t="shared" si="25"/>
        <v>-0.54678118135758846</v>
      </c>
      <c r="Q20" s="66">
        <f>IF(P20&lt;0, 0, 0.00035*(10*P20/((1/COS(M$1))-0.8))^(3/(1+1/(DATOS!E$6))))</f>
        <v>0</v>
      </c>
      <c r="R20" s="66">
        <f t="shared" si="26"/>
        <v>184976.77341593782</v>
      </c>
      <c r="S20" s="66">
        <f t="shared" si="27"/>
        <v>2367980.5132629299</v>
      </c>
      <c r="T20">
        <f t="shared" si="6"/>
        <v>1.6160533748341246</v>
      </c>
      <c r="U20">
        <f t="shared" si="7"/>
        <v>0.17714999729176159</v>
      </c>
      <c r="V20">
        <f t="shared" si="28"/>
        <v>209743.87075573613</v>
      </c>
      <c r="W20" s="66">
        <f>EDisponible!D33</f>
        <v>0.25777284887123109</v>
      </c>
      <c r="X20" s="66">
        <f t="shared" si="29"/>
        <v>-0.54222715112876896</v>
      </c>
      <c r="Y20" s="66">
        <f>IF(X20&lt;0, 0, 0.00035*(10*X20/((1/COS(M$1))-0.8))^(3/(1+1/(DATOS!E$6))))</f>
        <v>0</v>
      </c>
      <c r="Z20" s="66">
        <f t="shared" si="30"/>
        <v>209743.87075573613</v>
      </c>
      <c r="AA20" s="66">
        <f t="shared" si="31"/>
        <v>2023622.7072650536</v>
      </c>
      <c r="AB20">
        <f t="shared" si="8"/>
        <v>1.8910555244618379</v>
      </c>
      <c r="AC20">
        <f t="shared" si="9"/>
        <v>0.23772345913518581</v>
      </c>
      <c r="AD20">
        <f t="shared" si="32"/>
        <v>240531.29497777903</v>
      </c>
      <c r="AE20" s="66">
        <f>EDisponible!E33</f>
        <v>0.26258176824222462</v>
      </c>
      <c r="AF20" s="66">
        <f t="shared" si="33"/>
        <v>-0.53741823175777537</v>
      </c>
      <c r="AG20" s="66">
        <f>IF(AF20&lt;0, 0, 0.00035*(10*AF20/((1/COS(M$1))-0.8))^(3/(1+1/(DATOS!E$6))))</f>
        <v>0</v>
      </c>
      <c r="AH20" s="66">
        <f t="shared" si="34"/>
        <v>240531.29497777903</v>
      </c>
      <c r="AI20" s="66">
        <f t="shared" si="35"/>
        <v>1718953.0822374518</v>
      </c>
      <c r="AJ20">
        <f t="shared" si="10"/>
        <v>2.2262288247093518</v>
      </c>
      <c r="AK20">
        <f t="shared" si="11"/>
        <v>0.32439516249784156</v>
      </c>
      <c r="AL20">
        <f t="shared" si="36"/>
        <v>278810.0322192919</v>
      </c>
      <c r="AM20" s="66">
        <f>EDisponible!F33</f>
        <v>0.26767027679920263</v>
      </c>
      <c r="AN20" s="66">
        <f t="shared" si="37"/>
        <v>-0.53232972320079741</v>
      </c>
      <c r="AO20" s="66">
        <f>IF(AN20&lt;0, 0, 0.00035*(10*AN20/((1/COS(M$1))-0.8))^(3/(1+1/(DATOS!E$6))))</f>
        <v>0</v>
      </c>
      <c r="AP20" s="66">
        <f t="shared" si="38"/>
        <v>278810.0322192919</v>
      </c>
      <c r="AQ20" s="66">
        <f t="shared" si="39"/>
        <v>1450684.070318935</v>
      </c>
      <c r="AR20">
        <f t="shared" si="12"/>
        <v>2.6379161240522042</v>
      </c>
      <c r="AS20">
        <f t="shared" si="13"/>
        <v>0.45016341658885439</v>
      </c>
      <c r="AT20">
        <f t="shared" si="40"/>
        <v>326522.44874289882</v>
      </c>
      <c r="AU20" s="66">
        <f>EDisponible!G33</f>
        <v>0.27306656093295878</v>
      </c>
      <c r="AV20" s="66">
        <f t="shared" si="41"/>
        <v>-0.52693343906704126</v>
      </c>
      <c r="AW20" s="66">
        <f>IF(AV20&lt;0, 0, 0.00035*(10*AV20/((1/COS(M$1))-0.8))^(3/(1+1/(DATOS!E$6))))</f>
        <v>0</v>
      </c>
      <c r="AX20" s="66">
        <f t="shared" si="14"/>
        <v>326522.44874289882</v>
      </c>
      <c r="AY20" s="66">
        <f t="shared" si="42"/>
        <v>1215685.5968380882</v>
      </c>
      <c r="AZ20">
        <f t="shared" si="15"/>
        <v>3.1478393015045918</v>
      </c>
      <c r="BA20">
        <f t="shared" si="16"/>
        <v>0.63545763919519305</v>
      </c>
      <c r="BB20">
        <f t="shared" si="43"/>
        <v>386258.34968516539</v>
      </c>
      <c r="BC20" s="66">
        <f>EDisponible!H33</f>
        <v>0.27880295270232774</v>
      </c>
      <c r="BD20" s="66">
        <f t="shared" si="44"/>
        <v>-0.52119704729767236</v>
      </c>
      <c r="BE20" s="66">
        <f>IF(BD20&lt;0, 0, 0.00035*(10*BD20/((1/COS(M$1))-0.8))^(3/(1+1/(DATOS!E$6))))</f>
        <v>0</v>
      </c>
      <c r="BF20" s="66">
        <f t="shared" si="17"/>
        <v>386258.34968516539</v>
      </c>
      <c r="BG20" s="66">
        <f t="shared" si="45"/>
        <v>1010983.4804329333</v>
      </c>
      <c r="BH20">
        <f t="shared" si="18"/>
        <v>3.7852081404547357</v>
      </c>
      <c r="BI20">
        <f t="shared" si="19"/>
        <v>0.91298899274243694</v>
      </c>
      <c r="BJ20">
        <f t="shared" si="46"/>
        <v>461508.39473985351</v>
      </c>
      <c r="BK20" s="66">
        <f>EDisponible!I33</f>
        <v>0.28491674824941282</v>
      </c>
      <c r="BL20" s="66">
        <f t="shared" si="47"/>
        <v>-0.51508325175058722</v>
      </c>
      <c r="BM20" s="66">
        <f>IF(BL20&lt;0, 0, 0.00035*(10*BL20/((1/COS(M$1))-0.8))^(3/(1+1/(DATOS!E$6))))</f>
        <v>0</v>
      </c>
      <c r="BN20" s="66">
        <f t="shared" si="20"/>
        <v>461508.39473985351</v>
      </c>
    </row>
    <row r="21" spans="1:66">
      <c r="A21" s="41">
        <f>EDisponible!A34</f>
        <v>90</v>
      </c>
      <c r="B21" s="44"/>
      <c r="C21">
        <f t="shared" si="0"/>
        <v>3576004.4650976886</v>
      </c>
      <c r="D21">
        <f t="shared" si="1"/>
        <v>1.0701281101156179</v>
      </c>
      <c r="E21">
        <f t="shared" si="2"/>
        <v>8.5048731388233989E-2</v>
      </c>
      <c r="F21">
        <f t="shared" si="3"/>
        <v>152067.32159760935</v>
      </c>
      <c r="G21" s="66">
        <f>EDisponible!B34</f>
        <v>0.26353898293577022</v>
      </c>
      <c r="H21" s="66">
        <f t="shared" si="21"/>
        <v>-0.53646101706422988</v>
      </c>
      <c r="I21" s="66">
        <f>IF(H21&lt;0, 0, 0.00035*(10*H21/((1/COS(M$1))-0.8))^(3/(1+1/(DATOS!E$6))))</f>
        <v>0</v>
      </c>
      <c r="J21" s="66">
        <f t="shared" si="22"/>
        <v>152067.32159760935</v>
      </c>
      <c r="K21" s="66">
        <f t="shared" si="23"/>
        <v>3089180.9319801028</v>
      </c>
      <c r="L21" s="11">
        <f t="shared" si="4"/>
        <v>1.2387694292632803</v>
      </c>
      <c r="M21">
        <f t="shared" si="5"/>
        <v>0.10950362097891686</v>
      </c>
      <c r="N21">
        <f t="shared" si="24"/>
        <v>169138.24895542316</v>
      </c>
      <c r="O21" s="66">
        <f>EDisponible!C34</f>
        <v>0.26811404326843585</v>
      </c>
      <c r="P21" s="66">
        <f t="shared" si="25"/>
        <v>-0.53188595673156414</v>
      </c>
      <c r="Q21" s="66">
        <f>IF(P21&lt;0, 0, 0.00035*(10*P21/((1/COS(M$1))-0.8))^(3/(1+1/(DATOS!E$6))))</f>
        <v>0</v>
      </c>
      <c r="R21" s="66">
        <f t="shared" si="26"/>
        <v>169138.24895542316</v>
      </c>
      <c r="S21" s="66">
        <f t="shared" si="27"/>
        <v>2654760.1601978866</v>
      </c>
      <c r="T21">
        <f t="shared" si="6"/>
        <v>1.4414797077995742</v>
      </c>
      <c r="U21">
        <f t="shared" si="7"/>
        <v>0.14362668257167915</v>
      </c>
      <c r="V21">
        <f t="shared" si="28"/>
        <v>190647.19741634099</v>
      </c>
      <c r="W21" s="66">
        <f>EDisponible!D34</f>
        <v>0.27293595762836237</v>
      </c>
      <c r="X21" s="66">
        <f t="shared" si="29"/>
        <v>-0.52706404237163773</v>
      </c>
      <c r="Y21" s="66">
        <f>IF(X21&lt;0, 0, 0.00035*(10*X21/((1/COS(M$1))-0.8))^(3/(1+1/(DATOS!E$6))))</f>
        <v>0</v>
      </c>
      <c r="Z21" s="66">
        <f t="shared" si="30"/>
        <v>190647.19741634099</v>
      </c>
      <c r="AA21" s="66">
        <f t="shared" si="31"/>
        <v>2268698.1216397141</v>
      </c>
      <c r="AB21">
        <f t="shared" si="8"/>
        <v>1.6867748350909604</v>
      </c>
      <c r="AC21">
        <f t="shared" si="9"/>
        <v>0.19182013732919165</v>
      </c>
      <c r="AD21">
        <f t="shared" si="32"/>
        <v>217590.99262570456</v>
      </c>
      <c r="AE21" s="66">
        <f>EDisponible!E34</f>
        <v>0.27802775460941431</v>
      </c>
      <c r="AF21" s="66">
        <f t="shared" si="33"/>
        <v>-0.52197224539058573</v>
      </c>
      <c r="AG21" s="66">
        <f>IF(AF21&lt;0, 0, 0.00035*(10*AF21/((1/COS(M$1))-0.8))^(3/(1+1/(DATOS!E$6))))</f>
        <v>0</v>
      </c>
      <c r="AH21" s="66">
        <f t="shared" si="34"/>
        <v>217590.99262570456</v>
      </c>
      <c r="AI21" s="66">
        <f t="shared" si="35"/>
        <v>1927130.7911589425</v>
      </c>
      <c r="AJ21">
        <f t="shared" si="10"/>
        <v>1.9857411430277863</v>
      </c>
      <c r="AK21">
        <f t="shared" si="11"/>
        <v>0.26077787373134426</v>
      </c>
      <c r="AL21">
        <f t="shared" si="36"/>
        <v>251276.53506031612</v>
      </c>
      <c r="AM21" s="66">
        <f>EDisponible!F34</f>
        <v>0.28341558719915572</v>
      </c>
      <c r="AN21" s="66">
        <f t="shared" si="37"/>
        <v>-0.51658441280084433</v>
      </c>
      <c r="AO21" s="66">
        <f>IF(AN21&lt;0, 0, 0.00035*(10*AN21/((1/COS(M$1))-0.8))^(3/(1+1/(DATOS!E$6))))</f>
        <v>0</v>
      </c>
      <c r="AP21" s="66">
        <f t="shared" si="38"/>
        <v>251276.53506031612</v>
      </c>
      <c r="AQ21" s="66">
        <f t="shared" si="39"/>
        <v>1626372.4525374912</v>
      </c>
      <c r="AR21">
        <f t="shared" si="12"/>
        <v>2.3529560489231081</v>
      </c>
      <c r="AS21">
        <f t="shared" si="13"/>
        <v>0.36084160591713416</v>
      </c>
      <c r="AT21">
        <f t="shared" si="40"/>
        <v>293431.42379650817</v>
      </c>
      <c r="AU21" s="66">
        <f>EDisponible!G34</f>
        <v>0.28912929981136809</v>
      </c>
      <c r="AV21" s="66">
        <f t="shared" si="41"/>
        <v>-0.5108707001886319</v>
      </c>
      <c r="AW21" s="66">
        <f>IF(AV21&lt;0, 0, 0.00035*(10*AV21/((1/COS(M$1))-0.8))^(3/(1+1/(DATOS!E$6))))</f>
        <v>0</v>
      </c>
      <c r="AX21" s="66">
        <f t="shared" si="14"/>
        <v>293431.42379650817</v>
      </c>
      <c r="AY21" s="66">
        <f t="shared" si="42"/>
        <v>1362913.9563167496</v>
      </c>
      <c r="AZ21">
        <f t="shared" si="15"/>
        <v>2.8077949325148981</v>
      </c>
      <c r="BA21">
        <f t="shared" si="16"/>
        <v>0.50826538626982432</v>
      </c>
      <c r="BB21">
        <f t="shared" si="43"/>
        <v>346360.9942299336</v>
      </c>
      <c r="BC21" s="66">
        <f>EDisponible!H34</f>
        <v>0.29520312639070001</v>
      </c>
      <c r="BD21" s="66">
        <f t="shared" si="44"/>
        <v>-0.50479687360930003</v>
      </c>
      <c r="BE21" s="66">
        <f>IF(BD21&lt;0, 0, 0.00035*(10*BD21/((1/COS(M$1))-0.8))^(3/(1+1/(DATOS!E$6))))</f>
        <v>0</v>
      </c>
      <c r="BF21" s="66">
        <f t="shared" si="17"/>
        <v>346360.9942299336</v>
      </c>
      <c r="BG21" s="66">
        <f t="shared" si="45"/>
        <v>1133420.926160105</v>
      </c>
      <c r="BH21">
        <f t="shared" si="18"/>
        <v>3.3763121993562311</v>
      </c>
      <c r="BI21">
        <f t="shared" si="19"/>
        <v>0.72907486824303147</v>
      </c>
      <c r="BJ21">
        <f t="shared" si="46"/>
        <v>413174.35620203667</v>
      </c>
      <c r="BK21" s="66">
        <f>EDisponible!I34</f>
        <v>0.30167655696996654</v>
      </c>
      <c r="BL21" s="66">
        <f t="shared" si="47"/>
        <v>-0.49832344303003351</v>
      </c>
      <c r="BM21" s="66">
        <f>IF(BL21&lt;0, 0, 0.00035*(10*BL21/((1/COS(M$1))-0.8))^(3/(1+1/(DATOS!E$6))))</f>
        <v>0</v>
      </c>
      <c r="BN21" s="66">
        <f t="shared" si="20"/>
        <v>413174.35620203667</v>
      </c>
    </row>
    <row r="22" spans="1:66">
      <c r="A22" s="41">
        <f>EDisponible!A35</f>
        <v>95</v>
      </c>
      <c r="B22" s="44"/>
      <c r="C22">
        <f t="shared" si="0"/>
        <v>3984375.34537119</v>
      </c>
      <c r="D22">
        <f t="shared" si="1"/>
        <v>0.96044738968825538</v>
      </c>
      <c r="E22">
        <f t="shared" si="2"/>
        <v>7.1061025532389147E-2</v>
      </c>
      <c r="F22">
        <f t="shared" si="3"/>
        <v>141566.89907402199</v>
      </c>
      <c r="G22" s="66">
        <f>EDisponible!B35</f>
        <v>0.278180037543313</v>
      </c>
      <c r="H22" s="66">
        <f t="shared" si="21"/>
        <v>-0.52181996245668705</v>
      </c>
      <c r="I22" s="66">
        <f>IF(H22&lt;0, 0, 0.00035*(10*H22/((1/COS(M$1))-0.8))^(3/(1+1/(DATOS!E$6))))</f>
        <v>0</v>
      </c>
      <c r="J22" s="66">
        <f t="shared" si="22"/>
        <v>141566.89907402199</v>
      </c>
      <c r="K22" s="66">
        <f t="shared" si="23"/>
        <v>3441957.7668049918</v>
      </c>
      <c r="L22" s="11">
        <f t="shared" si="4"/>
        <v>1.1118041414994535</v>
      </c>
      <c r="M22">
        <f t="shared" si="5"/>
        <v>9.0759895934484913E-2</v>
      </c>
      <c r="N22">
        <f t="shared" si="24"/>
        <v>156195.86436305658</v>
      </c>
      <c r="O22" s="66">
        <f>EDisponible!C35</f>
        <v>0.28300926789446007</v>
      </c>
      <c r="P22" s="66">
        <f t="shared" si="25"/>
        <v>-0.51699073210554003</v>
      </c>
      <c r="Q22" s="66">
        <f>IF(P22&lt;0, 0, 0.00035*(10*P22/((1/COS(M$1))-0.8))^(3/(1+1/(DATOS!E$6))))</f>
        <v>0</v>
      </c>
      <c r="R22" s="66">
        <f t="shared" si="26"/>
        <v>156195.86436305658</v>
      </c>
      <c r="S22" s="66">
        <f t="shared" si="27"/>
        <v>2957927.2155291266</v>
      </c>
      <c r="T22">
        <f t="shared" si="6"/>
        <v>1.2937380202965709</v>
      </c>
      <c r="U22">
        <f t="shared" si="7"/>
        <v>0.11824665949340343</v>
      </c>
      <c r="V22">
        <f t="shared" si="28"/>
        <v>174882.5061304718</v>
      </c>
      <c r="W22" s="66">
        <f>EDisponible!D35</f>
        <v>0.2880990663854936</v>
      </c>
      <c r="X22" s="66">
        <f t="shared" si="29"/>
        <v>-0.51190093361450639</v>
      </c>
      <c r="Y22" s="66">
        <f>IF(X22&lt;0, 0, 0.00035*(10*X22/((1/COS(M$1))-0.8))^(3/(1+1/(DATOS!E$6))))</f>
        <v>0</v>
      </c>
      <c r="Z22" s="66">
        <f t="shared" si="30"/>
        <v>174882.5061304718</v>
      </c>
      <c r="AA22" s="66">
        <f t="shared" si="31"/>
        <v>2527777.8454072122</v>
      </c>
      <c r="AB22">
        <f t="shared" si="8"/>
        <v>1.5138920957603081</v>
      </c>
      <c r="AC22">
        <f t="shared" si="9"/>
        <v>0.15706738759267089</v>
      </c>
      <c r="AD22">
        <f t="shared" si="32"/>
        <v>198515.73129637056</v>
      </c>
      <c r="AE22" s="66">
        <f>EDisponible!E35</f>
        <v>0.29347374097660395</v>
      </c>
      <c r="AF22" s="66">
        <f t="shared" si="33"/>
        <v>-0.5065262590233961</v>
      </c>
      <c r="AG22" s="66">
        <f>IF(AF22&lt;0, 0, 0.00035*(10*AF22/((1/COS(M$1))-0.8))^(3/(1+1/(DATOS!E$6))))</f>
        <v>0</v>
      </c>
      <c r="AH22" s="66">
        <f t="shared" si="34"/>
        <v>198515.73129637056</v>
      </c>
      <c r="AI22" s="66">
        <f t="shared" si="35"/>
        <v>2147204.3691616612</v>
      </c>
      <c r="AJ22">
        <f t="shared" si="10"/>
        <v>1.7822164275374037</v>
      </c>
      <c r="AK22">
        <f t="shared" si="11"/>
        <v>0.21261413245000294</v>
      </c>
      <c r="AL22">
        <f t="shared" si="36"/>
        <v>228262.99707108122</v>
      </c>
      <c r="AM22" s="66">
        <f>EDisponible!F35</f>
        <v>0.2991608975991088</v>
      </c>
      <c r="AN22" s="66">
        <f t="shared" si="37"/>
        <v>-0.50083910240089125</v>
      </c>
      <c r="AO22" s="66">
        <f>IF(AN22&lt;0, 0, 0.00035*(10*AN22/((1/COS(M$1))-0.8))^(3/(1+1/(DATOS!E$6))))</f>
        <v>0</v>
      </c>
      <c r="AP22" s="66">
        <f t="shared" si="38"/>
        <v>228262.99707108122</v>
      </c>
      <c r="AQ22" s="66">
        <f t="shared" si="39"/>
        <v>1812100.170882822</v>
      </c>
      <c r="AR22">
        <f t="shared" si="12"/>
        <v>2.1117943486179693</v>
      </c>
      <c r="AS22">
        <f t="shared" si="13"/>
        <v>0.29321733799581268</v>
      </c>
      <c r="AT22">
        <f t="shared" si="40"/>
        <v>265669.59414400917</v>
      </c>
      <c r="AU22" s="66">
        <f>EDisponible!G35</f>
        <v>0.30519203868977746</v>
      </c>
      <c r="AV22" s="66">
        <f t="shared" si="41"/>
        <v>-0.49480796131022259</v>
      </c>
      <c r="AW22" s="66">
        <f>IF(AV22&lt;0, 0, 0.00035*(10*AV22/((1/COS(M$1))-0.8))^(3/(1+1/(DATOS!E$6))))</f>
        <v>0</v>
      </c>
      <c r="AX22" s="66">
        <f t="shared" si="14"/>
        <v>265669.59414400917</v>
      </c>
      <c r="AY22" s="66">
        <f t="shared" si="42"/>
        <v>1518555.3649084773</v>
      </c>
      <c r="AZ22">
        <f t="shared" si="15"/>
        <v>2.5200153964953653</v>
      </c>
      <c r="BA22">
        <f t="shared" si="16"/>
        <v>0.41196994706345336</v>
      </c>
      <c r="BB22">
        <f t="shared" si="43"/>
        <v>312799.58664713422</v>
      </c>
      <c r="BC22" s="66">
        <f>EDisponible!H35</f>
        <v>0.31160330007907222</v>
      </c>
      <c r="BD22" s="66">
        <f t="shared" si="44"/>
        <v>-0.48839669992092782</v>
      </c>
      <c r="BE22" s="66">
        <f>IF(BD22&lt;0, 0, 0.00035*(10*BD22/((1/COS(M$1))-0.8))^(3/(1+1/(DATOS!E$6))))</f>
        <v>0</v>
      </c>
      <c r="BF22" s="66">
        <f t="shared" si="17"/>
        <v>312799.58664713422</v>
      </c>
      <c r="BG22" s="66">
        <f t="shared" si="45"/>
        <v>1262854.7973574011</v>
      </c>
      <c r="BH22">
        <f t="shared" si="18"/>
        <v>3.0302635805856473</v>
      </c>
      <c r="BI22">
        <f t="shared" si="19"/>
        <v>0.58983610968973299</v>
      </c>
      <c r="BJ22">
        <f t="shared" si="46"/>
        <v>372438.68038815277</v>
      </c>
      <c r="BK22" s="66">
        <f>EDisponible!I35</f>
        <v>0.31843636569052025</v>
      </c>
      <c r="BL22" s="66">
        <f t="shared" si="47"/>
        <v>-0.48156363430947979</v>
      </c>
      <c r="BM22" s="66">
        <f>IF(BL22&lt;0, 0, 0.00035*(10*BL22/((1/COS(M$1))-0.8))^(3/(1+1/(DATOS!E$6))))</f>
        <v>0</v>
      </c>
      <c r="BN22" s="66">
        <f t="shared" si="20"/>
        <v>372438.68038815277</v>
      </c>
    </row>
    <row r="23" spans="1:66">
      <c r="A23" s="41">
        <f>EDisponible!A36</f>
        <v>100</v>
      </c>
      <c r="B23" s="44"/>
      <c r="C23">
        <f t="shared" si="0"/>
        <v>4414820.327281097</v>
      </c>
      <c r="D23">
        <f t="shared" si="1"/>
        <v>0.86680376919365043</v>
      </c>
      <c r="E23">
        <f t="shared" si="2"/>
        <v>6.0314365828031846E-2</v>
      </c>
      <c r="F23">
        <f t="shared" si="3"/>
        <v>133138.5441423317</v>
      </c>
      <c r="G23" s="66">
        <f>EDisponible!B36</f>
        <v>0.29282109215085578</v>
      </c>
      <c r="H23" s="66">
        <f t="shared" si="21"/>
        <v>-0.50717890784914421</v>
      </c>
      <c r="I23" s="66">
        <f>IF(H23&lt;0, 0, 0.00035*(10*H23/((1/COS(M$1))-0.8))^(3/(1+1/(DATOS!E$6))))</f>
        <v>0</v>
      </c>
      <c r="J23" s="66">
        <f t="shared" si="22"/>
        <v>133138.5441423317</v>
      </c>
      <c r="K23" s="66">
        <f t="shared" si="23"/>
        <v>3813803.6197285228</v>
      </c>
      <c r="L23" s="11">
        <f t="shared" si="4"/>
        <v>1.0034032377032569</v>
      </c>
      <c r="M23">
        <f t="shared" si="5"/>
        <v>7.635921888847888E-2</v>
      </c>
      <c r="N23">
        <f t="shared" si="24"/>
        <v>145609.53269826167</v>
      </c>
      <c r="O23" s="66">
        <f>EDisponible!C36</f>
        <v>0.29790449252048429</v>
      </c>
      <c r="P23" s="66">
        <f t="shared" si="25"/>
        <v>-0.5020955074795157</v>
      </c>
      <c r="Q23" s="66">
        <f>IF(P23&lt;0, 0, 0.00035*(10*P23/((1/COS(M$1))-0.8))^(3/(1+1/(DATOS!E$6))))</f>
        <v>0</v>
      </c>
      <c r="R23" s="66">
        <f t="shared" si="26"/>
        <v>145609.53269826167</v>
      </c>
      <c r="S23" s="66">
        <f t="shared" si="27"/>
        <v>3277481.6792566502</v>
      </c>
      <c r="T23">
        <f t="shared" si="6"/>
        <v>1.1675985633176551</v>
      </c>
      <c r="U23">
        <f t="shared" si="7"/>
        <v>9.8747359599490214E-2</v>
      </c>
      <c r="V23">
        <f t="shared" si="28"/>
        <v>161821.33098114873</v>
      </c>
      <c r="W23" s="66">
        <f>EDisponible!D36</f>
        <v>0.30326217514262482</v>
      </c>
      <c r="X23" s="66">
        <f t="shared" si="29"/>
        <v>-0.49673782485737522</v>
      </c>
      <c r="Y23" s="66">
        <f>IF(X23&lt;0, 0, 0.00035*(10*X23/((1/COS(M$1))-0.8))^(3/(1+1/(DATOS!E$6))))</f>
        <v>0</v>
      </c>
      <c r="Z23" s="66">
        <f t="shared" si="30"/>
        <v>161821.33098114873</v>
      </c>
      <c r="AA23" s="66">
        <f t="shared" si="31"/>
        <v>2800861.878567548</v>
      </c>
      <c r="AB23">
        <f t="shared" si="8"/>
        <v>1.3662876164236781</v>
      </c>
      <c r="AC23">
        <f t="shared" si="9"/>
        <v>0.13036708526589422</v>
      </c>
      <c r="AD23">
        <f t="shared" si="32"/>
        <v>182570.0996706041</v>
      </c>
      <c r="AE23" s="66">
        <f>EDisponible!E36</f>
        <v>0.30891972734379364</v>
      </c>
      <c r="AF23" s="66">
        <f t="shared" si="33"/>
        <v>-0.49108027265620641</v>
      </c>
      <c r="AG23" s="66">
        <f>IF(AF23&lt;0, 0, 0.00035*(10*AF23/((1/COS(M$1))-0.8))^(3/(1+1/(DATOS!E$6))))</f>
        <v>0</v>
      </c>
      <c r="AH23" s="66">
        <f t="shared" si="34"/>
        <v>182570.0996706041</v>
      </c>
      <c r="AI23" s="66">
        <f t="shared" si="35"/>
        <v>2379173.816245608</v>
      </c>
      <c r="AJ23">
        <f t="shared" si="10"/>
        <v>1.6084503258525067</v>
      </c>
      <c r="AK23">
        <f t="shared" si="11"/>
        <v>0.1756102561193465</v>
      </c>
      <c r="AL23">
        <f t="shared" si="36"/>
        <v>208903.66161166714</v>
      </c>
      <c r="AM23" s="66">
        <f>EDisponible!F36</f>
        <v>0.31490620799906188</v>
      </c>
      <c r="AN23" s="66">
        <f t="shared" si="37"/>
        <v>-0.48509379200093816</v>
      </c>
      <c r="AO23" s="66">
        <f>IF(AN23&lt;0, 0, 0.00035*(10*AN23/((1/COS(M$1))-0.8))^(3/(1+1/(DATOS!E$6))))</f>
        <v>0</v>
      </c>
      <c r="AP23" s="66">
        <f t="shared" si="38"/>
        <v>208903.66161166714</v>
      </c>
      <c r="AQ23" s="66">
        <f t="shared" si="39"/>
        <v>2007867.2253549274</v>
      </c>
      <c r="AR23">
        <f t="shared" si="12"/>
        <v>1.9058943996277176</v>
      </c>
      <c r="AS23">
        <f t="shared" si="13"/>
        <v>0.24126207080644327</v>
      </c>
      <c r="AT23">
        <f t="shared" si="40"/>
        <v>242211.10234675862</v>
      </c>
      <c r="AU23" s="66">
        <f>EDisponible!G36</f>
        <v>0.32125477756818677</v>
      </c>
      <c r="AV23" s="66">
        <f t="shared" si="41"/>
        <v>-0.47874522243181328</v>
      </c>
      <c r="AW23" s="66">
        <f>IF(AV23&lt;0, 0, 0.00035*(10*AV23/((1/COS(M$1))-0.8))^(3/(1+1/(DATOS!E$6))))</f>
        <v>0</v>
      </c>
      <c r="AX23" s="66">
        <f t="shared" si="14"/>
        <v>242211.10234675862</v>
      </c>
      <c r="AY23" s="66">
        <f t="shared" si="42"/>
        <v>1682609.822613271</v>
      </c>
      <c r="AZ23">
        <f t="shared" si="15"/>
        <v>2.2743138953370674</v>
      </c>
      <c r="BA23">
        <f t="shared" si="16"/>
        <v>0.33798681309584327</v>
      </c>
      <c r="BB23">
        <f t="shared" si="43"/>
        <v>284349.96581441083</v>
      </c>
      <c r="BC23" s="66">
        <f>EDisponible!H36</f>
        <v>0.32800347376744443</v>
      </c>
      <c r="BD23" s="66">
        <f t="shared" si="44"/>
        <v>-0.47199652623255561</v>
      </c>
      <c r="BE23" s="66">
        <f>IF(BD23&lt;0, 0, 0.00035*(10*BD23/((1/COS(M$1))-0.8))^(3/(1+1/(DATOS!E$6))))</f>
        <v>0</v>
      </c>
      <c r="BF23" s="66">
        <f t="shared" si="17"/>
        <v>284349.96581441083</v>
      </c>
      <c r="BG23" s="66">
        <f t="shared" si="45"/>
        <v>1399285.0940248212</v>
      </c>
      <c r="BH23">
        <f t="shared" si="18"/>
        <v>2.7348128814785468</v>
      </c>
      <c r="BI23">
        <f t="shared" si="19"/>
        <v>0.48285991421846441</v>
      </c>
      <c r="BJ23">
        <f t="shared" si="46"/>
        <v>337829.34023400053</v>
      </c>
      <c r="BK23" s="66">
        <f>EDisponible!I36</f>
        <v>0.33519617441107391</v>
      </c>
      <c r="BL23" s="66">
        <f t="shared" si="47"/>
        <v>-0.46480382558892613</v>
      </c>
      <c r="BM23" s="66">
        <f>IF(BL23&lt;0, 0, 0.00035*(10*BL23/((1/COS(M$1))-0.8))^(3/(1+1/(DATOS!E$6))))</f>
        <v>0</v>
      </c>
      <c r="BN23" s="66">
        <f t="shared" si="20"/>
        <v>337829.34023400053</v>
      </c>
    </row>
    <row r="24" spans="1:66">
      <c r="A24" s="41">
        <f>EDisponible!A37</f>
        <v>105</v>
      </c>
      <c r="B24" s="44"/>
      <c r="C24">
        <f t="shared" si="0"/>
        <v>4867339.4108274095</v>
      </c>
      <c r="D24">
        <f t="shared" si="1"/>
        <v>0.78621657069718864</v>
      </c>
      <c r="E24">
        <f t="shared" si="2"/>
        <v>5.1947914080693887E-2</v>
      </c>
      <c r="F24">
        <f t="shared" si="3"/>
        <v>126424.06475761873</v>
      </c>
      <c r="G24" s="66">
        <f>EDisponible!B37</f>
        <v>0.30746214675839856</v>
      </c>
      <c r="H24" s="66">
        <f t="shared" si="21"/>
        <v>-0.49253785324160149</v>
      </c>
      <c r="I24" s="66">
        <f>IF(H24&lt;0, 0, 0.00035*(10*H24/((1/COS(M$1))-0.8))^(3/(1+1/(DATOS!E$6))))</f>
        <v>0</v>
      </c>
      <c r="J24" s="66">
        <f t="shared" si="22"/>
        <v>126424.06475761873</v>
      </c>
      <c r="K24" s="66">
        <f t="shared" si="23"/>
        <v>4204718.4907506965</v>
      </c>
      <c r="L24" s="11">
        <f t="shared" si="4"/>
        <v>0.91011631537710369</v>
      </c>
      <c r="M24">
        <f t="shared" si="5"/>
        <v>6.5148054401195754E-2</v>
      </c>
      <c r="N24">
        <f t="shared" si="24"/>
        <v>136964.61448857005</v>
      </c>
      <c r="O24" s="66">
        <f>EDisponible!C37</f>
        <v>0.3127997171465085</v>
      </c>
      <c r="P24" s="66">
        <f t="shared" si="25"/>
        <v>-0.48720028285349154</v>
      </c>
      <c r="Q24" s="66">
        <f>IF(P24&lt;0, 0, 0.00035*(10*P24/((1/COS(M$1))-0.8))^(3/(1+1/(DATOS!E$6))))</f>
        <v>0</v>
      </c>
      <c r="R24" s="66">
        <f t="shared" si="26"/>
        <v>136964.61448857005</v>
      </c>
      <c r="S24" s="66">
        <f t="shared" si="27"/>
        <v>3613423.5513804569</v>
      </c>
      <c r="T24">
        <f t="shared" si="6"/>
        <v>1.059046315934381</v>
      </c>
      <c r="U24">
        <f t="shared" si="7"/>
        <v>8.3566833170133678E-2</v>
      </c>
      <c r="V24">
        <f t="shared" si="28"/>
        <v>150981.18154562131</v>
      </c>
      <c r="W24" s="66">
        <f>EDisponible!D37</f>
        <v>0.31842528389975605</v>
      </c>
      <c r="X24" s="66">
        <f t="shared" si="29"/>
        <v>-0.48157471610024399</v>
      </c>
      <c r="Y24" s="66">
        <f>IF(X24&lt;0, 0, 0.00035*(10*X24/((1/COS(M$1))-0.8))^(3/(1+1/(DATOS!E$6))))</f>
        <v>0</v>
      </c>
      <c r="Z24" s="66">
        <f t="shared" si="30"/>
        <v>150981.18154562131</v>
      </c>
      <c r="AA24" s="66">
        <f t="shared" si="31"/>
        <v>3087950.2211207217</v>
      </c>
      <c r="AB24">
        <f t="shared" si="8"/>
        <v>1.2392631441484607</v>
      </c>
      <c r="AC24">
        <f t="shared" si="9"/>
        <v>0.10958045972812461</v>
      </c>
      <c r="AD24">
        <f t="shared" si="32"/>
        <v>169189.50242398636</v>
      </c>
      <c r="AE24" s="66">
        <f>EDisponible!E37</f>
        <v>0.32436571371098333</v>
      </c>
      <c r="AF24" s="66">
        <f t="shared" si="33"/>
        <v>-0.47563428628901672</v>
      </c>
      <c r="AG24" s="66">
        <f>IF(AF24&lt;0, 0, 0.00035*(10*AF24/((1/COS(M$1))-0.8))^(3/(1+1/(DATOS!E$6))))</f>
        <v>0</v>
      </c>
      <c r="AH24" s="66">
        <f t="shared" si="34"/>
        <v>169189.50242398636</v>
      </c>
      <c r="AI24" s="66">
        <f t="shared" si="35"/>
        <v>2623039.1324107829</v>
      </c>
      <c r="AJ24">
        <f t="shared" si="10"/>
        <v>1.4589118601836797</v>
      </c>
      <c r="AK24">
        <f t="shared" si="11"/>
        <v>0.14680212835669179</v>
      </c>
      <c r="AL24">
        <f t="shared" si="36"/>
        <v>192533.86370039661</v>
      </c>
      <c r="AM24" s="66">
        <f>EDisponible!F37</f>
        <v>0.33065151839901502</v>
      </c>
      <c r="AN24" s="66">
        <f t="shared" si="37"/>
        <v>-0.46934848160098502</v>
      </c>
      <c r="AO24" s="66">
        <f>IF(AN24&lt;0, 0, 0.00035*(10*AN24/((1/COS(M$1))-0.8))^(3/(1+1/(DATOS!E$6))))</f>
        <v>0</v>
      </c>
      <c r="AP24" s="66">
        <f t="shared" si="38"/>
        <v>192533.86370039661</v>
      </c>
      <c r="AQ24" s="66">
        <f t="shared" si="39"/>
        <v>2213673.6159538077</v>
      </c>
      <c r="AR24">
        <f t="shared" si="12"/>
        <v>1.7287024032904466</v>
      </c>
      <c r="AS24">
        <f t="shared" si="13"/>
        <v>0.20081403877434426</v>
      </c>
      <c r="AT24">
        <f t="shared" si="40"/>
        <v>222268.36967394539</v>
      </c>
      <c r="AU24" s="66">
        <f>EDisponible!G37</f>
        <v>0.33731751644659613</v>
      </c>
      <c r="AV24" s="66">
        <f t="shared" si="41"/>
        <v>-0.46268248355340391</v>
      </c>
      <c r="AW24" s="66">
        <f>IF(AV24&lt;0, 0, 0.00035*(10*AV24/((1/COS(M$1))-0.8))^(3/(1+1/(DATOS!E$6))))</f>
        <v>0</v>
      </c>
      <c r="AX24" s="66">
        <f t="shared" si="14"/>
        <v>222268.36967394539</v>
      </c>
      <c r="AY24" s="66">
        <f t="shared" si="42"/>
        <v>1855077.3294311315</v>
      </c>
      <c r="AZ24">
        <f t="shared" si="15"/>
        <v>2.0628697463374759</v>
      </c>
      <c r="BA24">
        <f t="shared" si="16"/>
        <v>0.28038972362944065</v>
      </c>
      <c r="BB24">
        <f t="shared" si="43"/>
        <v>260072.3098552179</v>
      </c>
      <c r="BC24" s="66">
        <f>EDisponible!H37</f>
        <v>0.34440364745581664</v>
      </c>
      <c r="BD24" s="66">
        <f t="shared" si="44"/>
        <v>-0.4555963525441834</v>
      </c>
      <c r="BE24" s="66">
        <f>IF(BD24&lt;0, 0, 0.00035*(10*BD24/((1/COS(M$1))-0.8))^(3/(1+1/(DATOS!E$6))))</f>
        <v>0</v>
      </c>
      <c r="BF24" s="66">
        <f t="shared" si="17"/>
        <v>260072.3098552179</v>
      </c>
      <c r="BG24" s="66">
        <f t="shared" si="45"/>
        <v>1542711.816162365</v>
      </c>
      <c r="BH24">
        <f t="shared" si="18"/>
        <v>2.4805559015678433</v>
      </c>
      <c r="BI24">
        <f t="shared" si="19"/>
        <v>0.39957718245379575</v>
      </c>
      <c r="BJ24">
        <f t="shared" si="46"/>
        <v>308216.22042016796</v>
      </c>
      <c r="BK24" s="66">
        <f>EDisponible!I37</f>
        <v>0.35195598313162763</v>
      </c>
      <c r="BL24" s="66">
        <f t="shared" si="47"/>
        <v>-0.44804401686837242</v>
      </c>
      <c r="BM24" s="66">
        <f>IF(BL24&lt;0, 0, 0.00035*(10*BL24/((1/COS(M$1))-0.8))^(3/(1+1/(DATOS!E$6))))</f>
        <v>0</v>
      </c>
      <c r="BN24" s="66">
        <f t="shared" si="20"/>
        <v>308216.22042016796</v>
      </c>
    </row>
    <row r="25" spans="1:66">
      <c r="A25" s="41">
        <f>EDisponible!A38</f>
        <v>110</v>
      </c>
      <c r="B25" s="44"/>
      <c r="C25">
        <f t="shared" si="0"/>
        <v>5341932.5960101271</v>
      </c>
      <c r="D25">
        <f t="shared" si="1"/>
        <v>0.71636675139971118</v>
      </c>
      <c r="E25">
        <f t="shared" si="2"/>
        <v>4.5356161379715633E-2</v>
      </c>
      <c r="F25">
        <f t="shared" si="3"/>
        <v>121144.7784520993</v>
      </c>
      <c r="G25" s="66">
        <f>EDisponible!B38</f>
        <v>0.32210320136594134</v>
      </c>
      <c r="H25" s="66">
        <f t="shared" si="21"/>
        <v>-0.47789679863405871</v>
      </c>
      <c r="I25" s="66">
        <f>IF(H25&lt;0, 0, 0.00035*(10*H25/((1/COS(M$1))-0.8))^(3/(1+1/(DATOS!E$6))))</f>
        <v>0</v>
      </c>
      <c r="J25" s="66">
        <f t="shared" si="22"/>
        <v>121144.7784520993</v>
      </c>
      <c r="K25" s="66">
        <f t="shared" si="23"/>
        <v>4614702.3798715118</v>
      </c>
      <c r="L25" s="11">
        <f t="shared" si="4"/>
        <v>0.82925887413492316</v>
      </c>
      <c r="M25">
        <f t="shared" si="5"/>
        <v>5.6315011909356394E-2</v>
      </c>
      <c r="N25">
        <f t="shared" si="24"/>
        <v>129938.50974029973</v>
      </c>
      <c r="O25" s="66">
        <f>EDisponible!C38</f>
        <v>0.32769494177253272</v>
      </c>
      <c r="P25" s="66">
        <f t="shared" si="25"/>
        <v>-0.47230505822746732</v>
      </c>
      <c r="Q25" s="66">
        <f>IF(P25&lt;0, 0, 0.00035*(10*P25/((1/COS(M$1))-0.8))^(3/(1+1/(DATOS!E$6))))</f>
        <v>0</v>
      </c>
      <c r="R25" s="66">
        <f t="shared" si="26"/>
        <v>129938.50974029973</v>
      </c>
      <c r="S25" s="66">
        <f t="shared" si="27"/>
        <v>3965752.8319005468</v>
      </c>
      <c r="T25">
        <f t="shared" si="6"/>
        <v>0.96495749034516942</v>
      </c>
      <c r="U25">
        <f t="shared" si="7"/>
        <v>7.1606413255583645E-2</v>
      </c>
      <c r="V25">
        <f t="shared" si="28"/>
        <v>141986.66807528585</v>
      </c>
      <c r="W25" s="66">
        <f>EDisponible!D38</f>
        <v>0.33358839265688733</v>
      </c>
      <c r="X25" s="66">
        <f t="shared" si="29"/>
        <v>-0.46641160734311271</v>
      </c>
      <c r="Y25" s="66">
        <f>IF(X25&lt;0, 0, 0.00035*(10*X25/((1/COS(M$1))-0.8))^(3/(1+1/(DATOS!E$6))))</f>
        <v>0</v>
      </c>
      <c r="Z25" s="66">
        <f t="shared" si="30"/>
        <v>141986.66807528585</v>
      </c>
      <c r="AA25" s="66">
        <f t="shared" si="31"/>
        <v>3389042.8730667331</v>
      </c>
      <c r="AB25">
        <f t="shared" si="8"/>
        <v>1.1291633193584116</v>
      </c>
      <c r="AC25">
        <f t="shared" si="9"/>
        <v>9.3203111340689856E-2</v>
      </c>
      <c r="AD25">
        <f t="shared" si="32"/>
        <v>157934.67011840508</v>
      </c>
      <c r="AE25" s="66">
        <f>EDisponible!E38</f>
        <v>0.33981170007817302</v>
      </c>
      <c r="AF25" s="66">
        <f t="shared" si="33"/>
        <v>-0.46018829992182703</v>
      </c>
      <c r="AG25" s="66">
        <f>IF(AF25&lt;0, 0, 0.00035*(10*AF25/((1/COS(M$1))-0.8))^(3/(1+1/(DATOS!E$6))))</f>
        <v>0</v>
      </c>
      <c r="AH25" s="66">
        <f t="shared" si="34"/>
        <v>157934.67011840508</v>
      </c>
      <c r="AI25" s="66">
        <f t="shared" si="35"/>
        <v>2878800.3176571857</v>
      </c>
      <c r="AJ25">
        <f t="shared" si="10"/>
        <v>1.3292977899607494</v>
      </c>
      <c r="AK25">
        <f t="shared" si="11"/>
        <v>0.12410480579697858</v>
      </c>
      <c r="AL25">
        <f t="shared" si="36"/>
        <v>178636.47717556264</v>
      </c>
      <c r="AM25" s="66">
        <f>EDisponible!F38</f>
        <v>0.3463968287989681</v>
      </c>
      <c r="AN25" s="66">
        <f t="shared" si="37"/>
        <v>-0.45360317120103194</v>
      </c>
      <c r="AO25" s="66">
        <f>IF(AN25&lt;0, 0, 0.00035*(10*AN25/((1/COS(M$1))-0.8))^(3/(1+1/(DATOS!E$6))))</f>
        <v>0</v>
      </c>
      <c r="AP25" s="66">
        <f t="shared" si="38"/>
        <v>178636.47717556264</v>
      </c>
      <c r="AQ25" s="66">
        <f t="shared" si="39"/>
        <v>2429519.3426794619</v>
      </c>
      <c r="AR25">
        <f t="shared" si="12"/>
        <v>1.5751193385353039</v>
      </c>
      <c r="AS25">
        <f t="shared" si="13"/>
        <v>0.16894587859739985</v>
      </c>
      <c r="AT25">
        <f t="shared" si="40"/>
        <v>205228.63995917953</v>
      </c>
      <c r="AU25" s="66">
        <f>EDisponible!G38</f>
        <v>0.35338025532500544</v>
      </c>
      <c r="AV25" s="66">
        <f t="shared" si="41"/>
        <v>-0.4466197446749946</v>
      </c>
      <c r="AW25" s="66">
        <f>IF(AV25&lt;0, 0, 0.00035*(10*AV25/((1/COS(M$1))-0.8))^(3/(1+1/(DATOS!E$6))))</f>
        <v>0</v>
      </c>
      <c r="AX25" s="66">
        <f t="shared" si="14"/>
        <v>205228.63995917953</v>
      </c>
      <c r="AY25" s="66">
        <f t="shared" si="42"/>
        <v>2035957.8853620582</v>
      </c>
      <c r="AZ25">
        <f t="shared" si="15"/>
        <v>1.8795982606091464</v>
      </c>
      <c r="BA25">
        <f t="shared" si="16"/>
        <v>0.23501017904777882</v>
      </c>
      <c r="BB25">
        <f t="shared" si="43"/>
        <v>239235.41358633721</v>
      </c>
      <c r="BC25" s="66">
        <f>EDisponible!H38</f>
        <v>0.36080382114418885</v>
      </c>
      <c r="BD25" s="66">
        <f t="shared" si="44"/>
        <v>-0.43919617885581119</v>
      </c>
      <c r="BE25" s="66">
        <f>IF(BD25&lt;0, 0, 0.00035*(10*BD25/((1/COS(M$1))-0.8))^(3/(1+1/(DATOS!E$6))))</f>
        <v>0</v>
      </c>
      <c r="BF25" s="66">
        <f t="shared" si="17"/>
        <v>239235.41358633721</v>
      </c>
      <c r="BG25" s="66">
        <f t="shared" si="45"/>
        <v>1693134.9637700336</v>
      </c>
      <c r="BH25">
        <f t="shared" si="18"/>
        <v>2.2601759351062372</v>
      </c>
      <c r="BI25">
        <f t="shared" si="19"/>
        <v>0.33396045643499367</v>
      </c>
      <c r="BJ25">
        <f t="shared" si="46"/>
        <v>282720.06265334343</v>
      </c>
      <c r="BK25" s="66">
        <f>EDisponible!I38</f>
        <v>0.36871579185218134</v>
      </c>
      <c r="BL25" s="66">
        <f t="shared" si="47"/>
        <v>-0.4312842081478187</v>
      </c>
      <c r="BM25" s="66">
        <f>IF(BL25&lt;0, 0, 0.00035*(10*BL25/((1/COS(M$1))-0.8))^(3/(1+1/(DATOS!E$6))))</f>
        <v>0</v>
      </c>
      <c r="BN25" s="66">
        <f t="shared" si="20"/>
        <v>282720.06265334343</v>
      </c>
    </row>
    <row r="26" spans="1:66">
      <c r="A26" s="41">
        <f>EDisponible!A39</f>
        <v>115</v>
      </c>
      <c r="B26" s="44"/>
      <c r="C26">
        <f t="shared" si="0"/>
        <v>5838599.8828292508</v>
      </c>
      <c r="D26">
        <f t="shared" si="1"/>
        <v>0.65542818086476407</v>
      </c>
      <c r="E26">
        <f t="shared" si="2"/>
        <v>4.0105929176170861E-2</v>
      </c>
      <c r="F26">
        <f t="shared" si="3"/>
        <v>117081.2366943747</v>
      </c>
      <c r="G26" s="66">
        <f>EDisponible!B39</f>
        <v>0.33674425597348412</v>
      </c>
      <c r="H26" s="66">
        <f t="shared" si="21"/>
        <v>-0.46325574402651593</v>
      </c>
      <c r="I26" s="66">
        <f>IF(H26&lt;0, 0, 0.00035*(10*H26/((1/COS(M$1))-0.8))^(3/(1+1/(DATOS!E$6))))</f>
        <v>0</v>
      </c>
      <c r="J26" s="66">
        <f t="shared" si="22"/>
        <v>117081.2366943747</v>
      </c>
      <c r="K26" s="66">
        <f t="shared" si="23"/>
        <v>5043755.2870909711</v>
      </c>
      <c r="L26" s="11">
        <f t="shared" si="4"/>
        <v>0.75871700393440977</v>
      </c>
      <c r="M26">
        <f t="shared" si="5"/>
        <v>4.927962598854476E-2</v>
      </c>
      <c r="N26">
        <f t="shared" si="24"/>
        <v>124277.18706279412</v>
      </c>
      <c r="O26" s="66">
        <f>EDisponible!C39</f>
        <v>0.34259016639855688</v>
      </c>
      <c r="P26" s="66">
        <f t="shared" si="25"/>
        <v>-0.45740983360144316</v>
      </c>
      <c r="Q26" s="66">
        <f>IF(P26&lt;0, 0, 0.00035*(10*P26/((1/COS(M$1))-0.8))^(3/(1+1/(DATOS!E$6))))</f>
        <v>0</v>
      </c>
      <c r="R26" s="66">
        <f t="shared" si="26"/>
        <v>124277.18706279412</v>
      </c>
      <c r="S26" s="66">
        <f t="shared" si="27"/>
        <v>4334469.5208169194</v>
      </c>
      <c r="T26">
        <f t="shared" si="6"/>
        <v>0.88287225959747084</v>
      </c>
      <c r="U26">
        <f t="shared" si="7"/>
        <v>6.2080118102859023E-2</v>
      </c>
      <c r="V26">
        <f t="shared" si="28"/>
        <v>134542.18988277856</v>
      </c>
      <c r="W26" s="66">
        <f>EDisponible!D39</f>
        <v>0.34875150141401856</v>
      </c>
      <c r="X26" s="66">
        <f t="shared" si="29"/>
        <v>-0.45124849858598148</v>
      </c>
      <c r="Y26" s="66">
        <f>IF(X26&lt;0, 0, 0.00035*(10*X26/((1/COS(M$1))-0.8))^(3/(1+1/(DATOS!E$6))))</f>
        <v>0</v>
      </c>
      <c r="Z26" s="66">
        <f t="shared" si="30"/>
        <v>134542.18988277856</v>
      </c>
      <c r="AA26" s="66">
        <f t="shared" si="31"/>
        <v>3704139.8344055824</v>
      </c>
      <c r="AB26">
        <f t="shared" si="8"/>
        <v>1.0331097288647848</v>
      </c>
      <c r="AC26">
        <f t="shared" si="9"/>
        <v>8.0158798877386819E-2</v>
      </c>
      <c r="AD26">
        <f t="shared" si="32"/>
        <v>148459.69999991701</v>
      </c>
      <c r="AE26" s="66">
        <f>EDisponible!E39</f>
        <v>0.35525768644536271</v>
      </c>
      <c r="AF26" s="66">
        <f t="shared" si="33"/>
        <v>-0.44474231355463734</v>
      </c>
      <c r="AG26" s="66">
        <f>IF(AF26&lt;0, 0, 0.00035*(10*AF26/((1/COS(M$1))-0.8))^(3/(1+1/(DATOS!E$6))))</f>
        <v>0</v>
      </c>
      <c r="AH26" s="66">
        <f t="shared" si="34"/>
        <v>148459.69999991701</v>
      </c>
      <c r="AI26" s="66">
        <f t="shared" si="35"/>
        <v>3146457.3719848166</v>
      </c>
      <c r="AJ26">
        <f t="shared" si="10"/>
        <v>1.2162195280548256</v>
      </c>
      <c r="AK26">
        <f t="shared" si="11"/>
        <v>0.10602672865376832</v>
      </c>
      <c r="AL26">
        <f t="shared" si="36"/>
        <v>166804.29100004156</v>
      </c>
      <c r="AM26" s="66">
        <f>EDisponible!F39</f>
        <v>0.36214213919892119</v>
      </c>
      <c r="AN26" s="66">
        <f t="shared" si="37"/>
        <v>-0.43785786080107886</v>
      </c>
      <c r="AO26" s="66">
        <f>IF(AN26&lt;0, 0, 0.00035*(10*AN26/((1/COS(M$1))-0.8))^(3/(1+1/(DATOS!E$6))))</f>
        <v>0</v>
      </c>
      <c r="AP26" s="66">
        <f t="shared" si="38"/>
        <v>166804.29100004156</v>
      </c>
      <c r="AQ26" s="66">
        <f t="shared" si="39"/>
        <v>2655404.4055318916</v>
      </c>
      <c r="AR26">
        <f t="shared" si="12"/>
        <v>1.4411299808149092</v>
      </c>
      <c r="AS26">
        <f t="shared" si="13"/>
        <v>0.14356336678018822</v>
      </c>
      <c r="AT26">
        <f t="shared" si="40"/>
        <v>190609.3983105513</v>
      </c>
      <c r="AU26" s="66">
        <f>EDisponible!G39</f>
        <v>0.36944299420341481</v>
      </c>
      <c r="AV26" s="66">
        <f t="shared" si="41"/>
        <v>-0.43055700579658523</v>
      </c>
      <c r="AW26" s="66">
        <f>IF(AV26&lt;0, 0, 0.00035*(10*AV26/((1/COS(M$1))-0.8))^(3/(1+1/(DATOS!E$6))))</f>
        <v>0</v>
      </c>
      <c r="AX26" s="66">
        <f t="shared" si="14"/>
        <v>190609.3983105513</v>
      </c>
      <c r="AY26" s="66">
        <f t="shared" si="42"/>
        <v>2225251.4904060508</v>
      </c>
      <c r="AZ26">
        <f t="shared" si="15"/>
        <v>1.7197080494042098</v>
      </c>
      <c r="BA26">
        <f t="shared" si="16"/>
        <v>0.19886605211330241</v>
      </c>
      <c r="BB26">
        <f t="shared" si="43"/>
        <v>221263.48942814677</v>
      </c>
      <c r="BC26" s="66">
        <f>EDisponible!H39</f>
        <v>0.37720399483256112</v>
      </c>
      <c r="BD26" s="66">
        <f t="shared" si="44"/>
        <v>-0.42279600516743893</v>
      </c>
      <c r="BE26" s="66">
        <f>IF(BD26&lt;0, 0, 0.00035*(10*BD26/((1/COS(M$1))-0.8))^(3/(1+1/(DATOS!E$6))))</f>
        <v>0</v>
      </c>
      <c r="BF26" s="66">
        <f t="shared" si="17"/>
        <v>221263.48942814677</v>
      </c>
      <c r="BG26" s="66">
        <f t="shared" si="45"/>
        <v>1850554.5368478259</v>
      </c>
      <c r="BH26">
        <f t="shared" si="18"/>
        <v>2.0679114415716802</v>
      </c>
      <c r="BI26">
        <f t="shared" si="19"/>
        <v>0.28169771787928877</v>
      </c>
      <c r="BJ26">
        <f t="shared" si="46"/>
        <v>260648.49492059837</v>
      </c>
      <c r="BK26" s="66">
        <f>EDisponible!I39</f>
        <v>0.385475600572735</v>
      </c>
      <c r="BL26" s="66">
        <f t="shared" si="47"/>
        <v>-0.41452439942726504</v>
      </c>
      <c r="BM26" s="66">
        <f>IF(BL26&lt;0, 0, 0.00035*(10*BL26/((1/COS(M$1))-0.8))^(3/(1+1/(DATOS!E$6))))</f>
        <v>0</v>
      </c>
      <c r="BN26" s="66">
        <f t="shared" si="20"/>
        <v>260648.49492059837</v>
      </c>
    </row>
    <row r="27" spans="1:66">
      <c r="A27" s="41">
        <f>EDisponible!A40</f>
        <v>120</v>
      </c>
      <c r="B27" s="44"/>
      <c r="C27">
        <f t="shared" si="0"/>
        <v>6357341.2712847795</v>
      </c>
      <c r="D27">
        <f t="shared" si="1"/>
        <v>0.601947061940035</v>
      </c>
      <c r="E27">
        <f t="shared" si="2"/>
        <v>3.5882526947497058E-2</v>
      </c>
      <c r="F27">
        <f t="shared" si="3"/>
        <v>114058.73474065565</v>
      </c>
      <c r="G27" s="66">
        <f>EDisponible!B40</f>
        <v>0.3513853105810269</v>
      </c>
      <c r="H27" s="66">
        <f t="shared" si="21"/>
        <v>-0.44861468941897314</v>
      </c>
      <c r="I27" s="66">
        <f>IF(H27&lt;0, 0, 0.00035*(10*H27/((1/COS(M$1))-0.8))^(3/(1+1/(DATOS!E$6))))</f>
        <v>0</v>
      </c>
      <c r="J27" s="66">
        <f t="shared" si="22"/>
        <v>114058.73474065565</v>
      </c>
      <c r="K27" s="66">
        <f t="shared" si="23"/>
        <v>5491877.2124090726</v>
      </c>
      <c r="L27" s="11">
        <f t="shared" si="4"/>
        <v>0.69680780396059505</v>
      </c>
      <c r="M27">
        <f t="shared" si="5"/>
        <v>4.3620206857049058E-2</v>
      </c>
      <c r="N27">
        <f t="shared" si="24"/>
        <v>119778.41001939884</v>
      </c>
      <c r="O27" s="66">
        <f>EDisponible!C40</f>
        <v>0.3574853910245811</v>
      </c>
      <c r="P27" s="66">
        <f t="shared" si="25"/>
        <v>-0.44251460897541894</v>
      </c>
      <c r="Q27" s="66">
        <f>IF(P27&lt;0, 0, 0.00035*(10*P27/((1/COS(M$1))-0.8))^(3/(1+1/(DATOS!E$6))))</f>
        <v>0</v>
      </c>
      <c r="R27" s="66">
        <f t="shared" si="26"/>
        <v>119778.41001939884</v>
      </c>
      <c r="S27" s="66">
        <f t="shared" si="27"/>
        <v>4719573.6181295766</v>
      </c>
      <c r="T27">
        <f t="shared" si="6"/>
        <v>0.81083233563726043</v>
      </c>
      <c r="U27">
        <f t="shared" si="7"/>
        <v>5.4416956814134006E-2</v>
      </c>
      <c r="V27">
        <f t="shared" si="28"/>
        <v>128412.41687944168</v>
      </c>
      <c r="W27" s="66">
        <f>EDisponible!D40</f>
        <v>0.36391461017114979</v>
      </c>
      <c r="X27" s="66">
        <f t="shared" si="29"/>
        <v>-0.43608538982885026</v>
      </c>
      <c r="Y27" s="66">
        <f>IF(X27&lt;0, 0, 0.00035*(10*X27/((1/COS(M$1))-0.8))^(3/(1+1/(DATOS!E$6))))</f>
        <v>0</v>
      </c>
      <c r="Z27" s="66">
        <f t="shared" si="30"/>
        <v>128412.41687944168</v>
      </c>
      <c r="AA27" s="66">
        <f t="shared" si="31"/>
        <v>4033241.105137269</v>
      </c>
      <c r="AB27">
        <f t="shared" si="8"/>
        <v>0.94881084473866539</v>
      </c>
      <c r="AC27">
        <f t="shared" si="9"/>
        <v>6.9665667108503221E-2</v>
      </c>
      <c r="AD27">
        <f t="shared" si="32"/>
        <v>140489.2160994123</v>
      </c>
      <c r="AE27" s="66">
        <f>EDisponible!E40</f>
        <v>0.3707036728125524</v>
      </c>
      <c r="AF27" s="66">
        <f t="shared" si="33"/>
        <v>-0.42929632718744765</v>
      </c>
      <c r="AG27" s="66">
        <f>IF(AF27&lt;0, 0, 0.00035*(10*AF27/((1/COS(M$1))-0.8))^(3/(1+1/(DATOS!E$6))))</f>
        <v>0</v>
      </c>
      <c r="AH27" s="66">
        <f t="shared" si="34"/>
        <v>140489.2160994123</v>
      </c>
      <c r="AI27" s="66">
        <f t="shared" si="35"/>
        <v>3426010.2953936756</v>
      </c>
      <c r="AJ27">
        <f t="shared" si="10"/>
        <v>1.1169793929531298</v>
      </c>
      <c r="AK27">
        <f t="shared" si="11"/>
        <v>9.1484325891996815E-2</v>
      </c>
      <c r="AL27">
        <f t="shared" si="36"/>
        <v>156713.12118656564</v>
      </c>
      <c r="AM27" s="66">
        <f>EDisponible!F40</f>
        <v>0.37788744959887427</v>
      </c>
      <c r="AN27" s="66">
        <f t="shared" si="37"/>
        <v>-0.42211255040112577</v>
      </c>
      <c r="AO27" s="66">
        <f>IF(AN27&lt;0, 0, 0.00035*(10*AN27/((1/COS(M$1))-0.8))^(3/(1+1/(DATOS!E$6))))</f>
        <v>0</v>
      </c>
      <c r="AP27" s="66">
        <f t="shared" si="38"/>
        <v>156713.12118656564</v>
      </c>
      <c r="AQ27" s="66">
        <f t="shared" si="39"/>
        <v>2891328.8045110954</v>
      </c>
      <c r="AR27">
        <f t="shared" si="12"/>
        <v>1.3235377775192483</v>
      </c>
      <c r="AS27">
        <f t="shared" si="13"/>
        <v>0.12314511615390689</v>
      </c>
      <c r="AT27">
        <f t="shared" si="40"/>
        <v>178026.51073532779</v>
      </c>
      <c r="AU27" s="66">
        <f>EDisponible!G40</f>
        <v>0.38550573308182412</v>
      </c>
      <c r="AV27" s="66">
        <f t="shared" si="41"/>
        <v>-0.41449426691817592</v>
      </c>
      <c r="AW27" s="66">
        <f>IF(AV27&lt;0, 0, 0.00035*(10*AV27/((1/COS(M$1))-0.8))^(3/(1+1/(DATOS!E$6))))</f>
        <v>0</v>
      </c>
      <c r="AX27" s="66">
        <f t="shared" si="14"/>
        <v>178026.51073532779</v>
      </c>
      <c r="AY27" s="66">
        <f t="shared" si="42"/>
        <v>2422958.1445631105</v>
      </c>
      <c r="AZ27">
        <f t="shared" si="15"/>
        <v>1.57938464953963</v>
      </c>
      <c r="BA27">
        <f t="shared" si="16"/>
        <v>0.16979092165612522</v>
      </c>
      <c r="BB27">
        <f t="shared" si="43"/>
        <v>205698.14824979281</v>
      </c>
      <c r="BC27" s="66">
        <f>EDisponible!H40</f>
        <v>0.39360416852093333</v>
      </c>
      <c r="BD27" s="66">
        <f t="shared" si="44"/>
        <v>-0.40639583147906672</v>
      </c>
      <c r="BE27" s="66">
        <f>IF(BD27&lt;0, 0, 0.00035*(10*BD27/((1/COS(M$1))-0.8))^(3/(1+1/(DATOS!E$6))))</f>
        <v>0</v>
      </c>
      <c r="BF27" s="66">
        <f t="shared" si="17"/>
        <v>205698.14824979281</v>
      </c>
      <c r="BG27" s="66">
        <f t="shared" si="45"/>
        <v>2014970.5353957422</v>
      </c>
      <c r="BH27">
        <f t="shared" si="18"/>
        <v>1.89917561213788</v>
      </c>
      <c r="BI27">
        <f t="shared" si="19"/>
        <v>0.23965642181171035</v>
      </c>
      <c r="BJ27">
        <f t="shared" si="46"/>
        <v>241450.31428448492</v>
      </c>
      <c r="BK27" s="66">
        <f>EDisponible!I40</f>
        <v>0.40223540929328871</v>
      </c>
      <c r="BL27" s="66">
        <f t="shared" si="47"/>
        <v>-0.39776459070671133</v>
      </c>
      <c r="BM27" s="66">
        <f>IF(BL27&lt;0, 0, 0.00035*(10*BL27/((1/COS(M$1))-0.8))^(3/(1+1/(DATOS!E$6))))</f>
        <v>0</v>
      </c>
      <c r="BN27" s="66">
        <f t="shared" si="20"/>
        <v>241450.31428448492</v>
      </c>
    </row>
    <row r="28" spans="1:66">
      <c r="A28" s="41">
        <f>EDisponible!A41</f>
        <v>125</v>
      </c>
      <c r="B28" s="44"/>
      <c r="C28">
        <f t="shared" si="0"/>
        <v>6898156.7613767134</v>
      </c>
      <c r="D28">
        <f t="shared" si="1"/>
        <v>0.55475441228393629</v>
      </c>
      <c r="E28">
        <f t="shared" si="2"/>
        <v>3.2454117322982985E-2</v>
      </c>
      <c r="F28">
        <f t="shared" si="3"/>
        <v>111936.7944230241</v>
      </c>
      <c r="G28" s="66">
        <f>EDisponible!B41</f>
        <v>0.36602636518856974</v>
      </c>
      <c r="H28" s="66">
        <f t="shared" si="21"/>
        <v>-0.43397363481143031</v>
      </c>
      <c r="I28" s="66">
        <f>IF(H28&lt;0, 0, 0.00035*(10*H28/((1/COS(M$1))-0.8))^(3/(1+1/(DATOS!E$6))))</f>
        <v>0</v>
      </c>
      <c r="J28" s="66">
        <f t="shared" si="22"/>
        <v>111936.7944230241</v>
      </c>
      <c r="K28" s="66">
        <f t="shared" si="23"/>
        <v>5959068.1558258161</v>
      </c>
      <c r="L28" s="11">
        <f t="shared" si="4"/>
        <v>0.64217807213008449</v>
      </c>
      <c r="M28">
        <f t="shared" si="5"/>
        <v>3.902608913654209E-2</v>
      </c>
      <c r="N28">
        <f t="shared" si="24"/>
        <v>116279.56250999389</v>
      </c>
      <c r="O28" s="66">
        <f>EDisponible!C41</f>
        <v>0.37238061565060532</v>
      </c>
      <c r="P28" s="66">
        <f t="shared" si="25"/>
        <v>-0.42761938434939473</v>
      </c>
      <c r="Q28" s="66">
        <f>IF(P28&lt;0, 0, 0.00035*(10*P28/((1/COS(M$1))-0.8))^(3/(1+1/(DATOS!E$6))))</f>
        <v>0</v>
      </c>
      <c r="R28" s="66">
        <f t="shared" si="26"/>
        <v>116279.56250999389</v>
      </c>
      <c r="S28" s="66">
        <f t="shared" si="27"/>
        <v>5121065.123838516</v>
      </c>
      <c r="T28">
        <f t="shared" si="6"/>
        <v>0.74726308052329926</v>
      </c>
      <c r="U28">
        <f t="shared" si="7"/>
        <v>4.8196271571772337E-2</v>
      </c>
      <c r="V28">
        <f t="shared" si="28"/>
        <v>123408.12272262652</v>
      </c>
      <c r="W28" s="66">
        <f>EDisponible!D41</f>
        <v>0.37907771892828102</v>
      </c>
      <c r="X28" s="66">
        <f t="shared" si="29"/>
        <v>-0.42092228107171903</v>
      </c>
      <c r="Y28" s="66">
        <f>IF(X28&lt;0, 0, 0.00035*(10*X28/((1/COS(M$1))-0.8))^(3/(1+1/(DATOS!E$6))))</f>
        <v>0</v>
      </c>
      <c r="Z28" s="66">
        <f t="shared" si="30"/>
        <v>123408.12272262652</v>
      </c>
      <c r="AA28" s="66">
        <f t="shared" si="31"/>
        <v>4376346.6852617944</v>
      </c>
      <c r="AB28">
        <f t="shared" si="8"/>
        <v>0.87442407451115378</v>
      </c>
      <c r="AC28">
        <f t="shared" si="9"/>
        <v>6.1147711204731385E-2</v>
      </c>
      <c r="AD28">
        <f t="shared" si="32"/>
        <v>133801.79162108584</v>
      </c>
      <c r="AE28" s="66">
        <f>EDisponible!E41</f>
        <v>0.38614965917974209</v>
      </c>
      <c r="AF28" s="66">
        <f t="shared" si="33"/>
        <v>-0.41385034082025796</v>
      </c>
      <c r="AG28" s="66">
        <f>IF(AF28&lt;0, 0, 0.00035*(10*AF28/((1/COS(M$1))-0.8))^(3/(1+1/(DATOS!E$6))))</f>
        <v>0</v>
      </c>
      <c r="AH28" s="66">
        <f t="shared" si="34"/>
        <v>133801.79162108584</v>
      </c>
      <c r="AI28" s="66">
        <f t="shared" si="35"/>
        <v>3717459.0878837625</v>
      </c>
      <c r="AJ28">
        <f t="shared" si="10"/>
        <v>1.0294082085456044</v>
      </c>
      <c r="AK28">
        <f t="shared" si="11"/>
        <v>7.9679313986305497E-2</v>
      </c>
      <c r="AL28">
        <f t="shared" si="36"/>
        <v>148102.29494736757</v>
      </c>
      <c r="AM28" s="66">
        <f>EDisponible!F41</f>
        <v>0.39363275999882735</v>
      </c>
      <c r="AN28" s="66">
        <f t="shared" si="37"/>
        <v>-0.40636724000117269</v>
      </c>
      <c r="AO28" s="66">
        <f>IF(AN28&lt;0, 0, 0.00035*(10*AN28/((1/COS(M$1))-0.8))^(3/(1+1/(DATOS!E$6))))</f>
        <v>0</v>
      </c>
      <c r="AP28" s="66">
        <f t="shared" si="38"/>
        <v>148102.29494736757</v>
      </c>
      <c r="AQ28" s="66">
        <f t="shared" si="39"/>
        <v>3137292.5396170747</v>
      </c>
      <c r="AR28">
        <f t="shared" si="12"/>
        <v>1.2197724157617389</v>
      </c>
      <c r="AS28">
        <f t="shared" si="13"/>
        <v>0.10657029728214025</v>
      </c>
      <c r="AT28">
        <f t="shared" si="40"/>
        <v>167171.09930401621</v>
      </c>
      <c r="AU28" s="66">
        <f>EDisponible!G41</f>
        <v>0.40156847196023349</v>
      </c>
      <c r="AV28" s="66">
        <f t="shared" si="41"/>
        <v>-0.39843152803976656</v>
      </c>
      <c r="AW28" s="66">
        <f>IF(AV28&lt;0, 0, 0.00035*(10*AV28/((1/COS(M$1))-0.8))^(3/(1+1/(DATOS!E$6))))</f>
        <v>0</v>
      </c>
      <c r="AX28" s="66">
        <f t="shared" si="14"/>
        <v>167171.09930401621</v>
      </c>
      <c r="AY28" s="66">
        <f t="shared" si="42"/>
        <v>2629077.8478332362</v>
      </c>
      <c r="AZ28">
        <f t="shared" si="15"/>
        <v>1.4555608930157229</v>
      </c>
      <c r="BA28">
        <f t="shared" si="16"/>
        <v>0.14618875172387852</v>
      </c>
      <c r="BB28">
        <f t="shared" si="43"/>
        <v>192170.80437982091</v>
      </c>
      <c r="BC28" s="66">
        <f>EDisponible!H41</f>
        <v>0.41000434220930554</v>
      </c>
      <c r="BD28" s="66">
        <f t="shared" si="44"/>
        <v>-0.38999565779069451</v>
      </c>
      <c r="BE28" s="66">
        <f>IF(BD28&lt;0, 0, 0.00035*(10*BD28/((1/COS(M$1))-0.8))^(3/(1+1/(DATOS!E$6))))</f>
        <v>0</v>
      </c>
      <c r="BF28" s="66">
        <f t="shared" si="17"/>
        <v>192170.80437982091</v>
      </c>
      <c r="BG28" s="66">
        <f t="shared" si="45"/>
        <v>2186382.9594137832</v>
      </c>
      <c r="BH28">
        <f t="shared" si="18"/>
        <v>1.7502802441462699</v>
      </c>
      <c r="BI28">
        <f t="shared" si="19"/>
        <v>0.20552877394370414</v>
      </c>
      <c r="BJ28">
        <f t="shared" si="46"/>
        <v>224682.30450986116</v>
      </c>
      <c r="BK28" s="66">
        <f>EDisponible!I41</f>
        <v>0.41899521801384243</v>
      </c>
      <c r="BL28" s="66">
        <f t="shared" si="47"/>
        <v>-0.38100478198615761</v>
      </c>
      <c r="BM28" s="66">
        <f>IF(BL28&lt;0, 0, 0.00035*(10*BL28/((1/COS(M$1))-0.8))^(3/(1+1/(DATOS!E$6))))</f>
        <v>0</v>
      </c>
      <c r="BN28" s="66">
        <f t="shared" si="20"/>
        <v>224682.30450986116</v>
      </c>
    </row>
    <row r="29" spans="1:66" ht="15" customHeight="1">
      <c r="A29" s="41">
        <f>EDisponible!A42</f>
        <v>130</v>
      </c>
      <c r="B29" s="44"/>
      <c r="C29" s="67">
        <f t="shared" ref="C29:C71" si="48">E$5*A29^2*K$3</f>
        <v>7461046.3531050542</v>
      </c>
      <c r="D29" s="67">
        <f t="shared" si="1"/>
        <v>0.51290163857612447</v>
      </c>
      <c r="E29" s="67">
        <f t="shared" ref="E29:E71" si="49">K$1+D29^(2)*K$2</f>
        <v>2.9647697328756203E-2</v>
      </c>
      <c r="F29" s="67">
        <f t="shared" ref="F29:F71" si="50">0.5*C29*E29</f>
        <v>110601.42201633946</v>
      </c>
      <c r="G29" s="67">
        <f>EDisponible!B42</f>
        <v>0.38066741979611252</v>
      </c>
      <c r="H29" s="67">
        <f t="shared" si="21"/>
        <v>-0.41933258020388753</v>
      </c>
      <c r="I29" s="67">
        <f>IF(H29&lt;0, 0, 0.00035*(10*H29/((1/COS(M$1))-0.8))^(3/(1+1/(DATOS!E$6))))</f>
        <v>0</v>
      </c>
      <c r="J29" s="67">
        <f t="shared" si="22"/>
        <v>110601.42201633946</v>
      </c>
      <c r="K29" s="67">
        <f t="shared" si="23"/>
        <v>6445328.1173412036</v>
      </c>
      <c r="L29" s="67">
        <f t="shared" ref="L29:L71" si="51">2*C$4/K29</f>
        <v>0.59372972645163125</v>
      </c>
      <c r="M29" s="67">
        <f t="shared" ref="M29:M71" si="52">K$1+L29^(2)*K$2</f>
        <v>3.5265446378315753E-2</v>
      </c>
      <c r="N29" s="67">
        <f t="shared" ref="N29:N71" si="53">0.5*K29*M29</f>
        <v>113648.68655637352</v>
      </c>
      <c r="O29" s="67">
        <f>EDisponible!C42</f>
        <v>0.38727584027662953</v>
      </c>
      <c r="P29" s="67">
        <f t="shared" si="25"/>
        <v>-0.41272415972337051</v>
      </c>
      <c r="Q29" s="67">
        <f>IF(P29&lt;0, 0, 0.00035*(10*P29/((1/COS(M$1))-0.8))^(3/(1+1/(DATOS!E$6))))</f>
        <v>0</v>
      </c>
      <c r="R29" s="67">
        <f t="shared" si="26"/>
        <v>113648.68655637352</v>
      </c>
      <c r="S29" s="67">
        <f t="shared" si="27"/>
        <v>5538944.0379437385</v>
      </c>
      <c r="T29" s="67">
        <f t="shared" ref="T29:T71" si="54">2*C$4/S29</f>
        <v>0.69088672385660066</v>
      </c>
      <c r="U29" s="67">
        <f t="shared" ref="U29:U71" si="55">K$1+T29^(2)*K$2</f>
        <v>4.3104156756457748E-2</v>
      </c>
      <c r="V29" s="67">
        <f t="shared" ref="V29:V71" si="56">0.5*S29*U29</f>
        <v>119375.75603838699</v>
      </c>
      <c r="W29" s="67">
        <f>EDisponible!D42</f>
        <v>0.3942408276854123</v>
      </c>
      <c r="X29" s="67">
        <f t="shared" si="29"/>
        <v>-0.40575917231458775</v>
      </c>
      <c r="Y29" s="67">
        <f>IF(X29&lt;0, 0, 0.00035*(10*X29/((1/COS(M$1))-0.8))^(3/(1+1/(DATOS!E$6))))</f>
        <v>0</v>
      </c>
      <c r="Z29" s="67">
        <f t="shared" si="30"/>
        <v>119375.75603838699</v>
      </c>
      <c r="AA29" s="67">
        <f t="shared" si="31"/>
        <v>4733456.5747791566</v>
      </c>
      <c r="AB29" s="67">
        <f t="shared" ref="AB29:AB71" si="57">2*C$4/AA29</f>
        <v>0.80845421090158454</v>
      </c>
      <c r="AC29" s="67">
        <f t="shared" ref="AC29:AC71" si="58">K$1+AB29^(2)*K$2</f>
        <v>5.4175101634579649E-2</v>
      </c>
      <c r="AD29" s="67">
        <f t="shared" si="32"/>
        <v>128217.74551076503</v>
      </c>
      <c r="AE29" s="67">
        <f>EDisponible!E42</f>
        <v>0.40159564554693178</v>
      </c>
      <c r="AF29" s="67">
        <f t="shared" si="33"/>
        <v>-0.39840435445306827</v>
      </c>
      <c r="AG29" s="67">
        <f>IF(AF29&lt;0, 0, 0.00035*(10*AF29/((1/COS(M$1))-0.8))^(3/(1+1/(DATOS!E$6))))</f>
        <v>0</v>
      </c>
      <c r="AH29" s="67">
        <f t="shared" si="34"/>
        <v>128217.74551076503</v>
      </c>
      <c r="AI29" s="67">
        <f t="shared" si="35"/>
        <v>4020803.7494550771</v>
      </c>
      <c r="AJ29" s="67">
        <f t="shared" ref="AJ29:AJ71" si="59">2*C$4/AI29</f>
        <v>0.95174575494231184</v>
      </c>
      <c r="AK29" s="67">
        <f t="shared" ref="AK29:AK71" si="60">K$1+AJ29^(2)*K$2</f>
        <v>7.0015993358767306E-2</v>
      </c>
      <c r="AL29" s="67">
        <f t="shared" ref="AL29:AL71" si="61">0.5*AI29*AK29</f>
        <v>140760.28430937667</v>
      </c>
      <c r="AM29" s="67">
        <f>EDisponible!F42</f>
        <v>0.40937807039878049</v>
      </c>
      <c r="AN29" s="67">
        <f t="shared" si="37"/>
        <v>-0.39062192960121955</v>
      </c>
      <c r="AO29" s="67">
        <f>IF(AN29&lt;0, 0, 0.00035*(10*AN29/((1/COS(M$1))-0.8))^(3/(1+1/(DATOS!E$6))))</f>
        <v>0</v>
      </c>
      <c r="AP29" s="67">
        <f t="shared" si="38"/>
        <v>140760.28430937667</v>
      </c>
      <c r="AQ29" s="67">
        <f t="shared" si="39"/>
        <v>3393295.6108498275</v>
      </c>
      <c r="AR29" s="67">
        <f t="shared" ref="AR29:AR71" si="62">2*C$4/AQ29</f>
        <v>1.1277481654601877</v>
      </c>
      <c r="AS29" s="67">
        <f t="shared" ref="AS29:AS71" si="63">K$1+AR29^(2)*K$2</f>
        <v>9.3002518580957233E-2</v>
      </c>
      <c r="AT29" s="67">
        <f t="shared" ref="AT29:AT71" si="64">0.5*AQ29*AS29</f>
        <v>157792.51904937087</v>
      </c>
      <c r="AU29" s="67">
        <f>EDisponible!G42</f>
        <v>0.4176312108386428</v>
      </c>
      <c r="AV29" s="67">
        <f t="shared" si="41"/>
        <v>-0.38236878916135725</v>
      </c>
      <c r="AW29" s="67">
        <f>IF(AV29&lt;0, 0, 0.00035*(10*AV29/((1/COS(M$1))-0.8))^(3/(1+1/(DATOS!E$6))))</f>
        <v>0</v>
      </c>
      <c r="AX29" s="67">
        <f t="shared" ref="AX29:AX71" si="65">0.5*AQ29*(AS29+AW29)</f>
        <v>157792.51904937087</v>
      </c>
      <c r="AY29" s="67">
        <f t="shared" si="42"/>
        <v>2843610.6002164283</v>
      </c>
      <c r="AZ29" s="67">
        <f t="shared" ref="AZ29:AZ71" si="66">2*C$4/AY29</f>
        <v>1.3457478670633534</v>
      </c>
      <c r="BA29" s="67">
        <f t="shared" ref="BA29:BA71" si="67">K$1+AZ29^(2)*K$2</f>
        <v>0.12686853947987534</v>
      </c>
      <c r="BB29" s="67">
        <f t="shared" ref="BB29:BB71" si="68">0.5*AY29*BA29</f>
        <v>180382.36184947495</v>
      </c>
      <c r="BC29" s="67">
        <f>EDisponible!H42</f>
        <v>0.42640451589767775</v>
      </c>
      <c r="BD29" s="67">
        <f t="shared" si="44"/>
        <v>-0.37359548410232229</v>
      </c>
      <c r="BE29" s="67">
        <f>IF(BD29&lt;0, 0, 0.00035*(10*BD29/((1/COS(M$1))-0.8))^(3/(1+1/(DATOS!E$6))))</f>
        <v>0</v>
      </c>
      <c r="BF29" s="67">
        <f t="shared" ref="BF29:BF71" si="69">0.5*AY29*(BA29+BE29)</f>
        <v>180382.36184947495</v>
      </c>
      <c r="BG29" s="67">
        <f t="shared" si="45"/>
        <v>2364791.8089019475</v>
      </c>
      <c r="BH29" s="67">
        <f t="shared" ref="BH29:BH71" si="70">2*C$4/BG29</f>
        <v>1.618232474247661</v>
      </c>
      <c r="BI29" s="67">
        <f t="shared" ref="BI29:BI71" si="71">K$1+BH29^(2)*K$2</f>
        <v>0.17759263916917939</v>
      </c>
      <c r="BJ29" s="67">
        <f t="shared" ref="BJ29:BJ71" si="72">0.5*BG29*BI29</f>
        <v>209984.80921427728</v>
      </c>
      <c r="BK29" s="67">
        <f>EDisponible!I42</f>
        <v>0.43575502673439609</v>
      </c>
      <c r="BL29" s="67">
        <f t="shared" si="47"/>
        <v>-0.36424497326560396</v>
      </c>
      <c r="BM29" s="67">
        <f>IF(BL29&lt;0, 0, 0.00035*(10*BL29/((1/COS(M$1))-0.8))^(3/(1+1/(DATOS!E$6))))</f>
        <v>0</v>
      </c>
      <c r="BN29" s="67">
        <f t="shared" ref="BN29:BN71" si="73">0.5*BG29*(BI29+BM29)</f>
        <v>209984.80921427728</v>
      </c>
    </row>
    <row r="30" spans="1:66" ht="15" customHeight="1">
      <c r="A30" s="41">
        <f>EDisponible!A43</f>
        <v>135</v>
      </c>
      <c r="B30" s="44"/>
      <c r="C30" s="67">
        <f t="shared" si="48"/>
        <v>8046010.0464697992</v>
      </c>
      <c r="D30" s="67">
        <f t="shared" si="1"/>
        <v>0.47561249338471906</v>
      </c>
      <c r="E30" s="67">
        <f t="shared" si="49"/>
        <v>2.7332636722000307E-2</v>
      </c>
      <c r="F30" s="67">
        <f t="shared" si="50"/>
        <v>109959.33483086192</v>
      </c>
      <c r="G30" s="67">
        <f>EDisponible!B43</f>
        <v>0.3953084744036553</v>
      </c>
      <c r="H30" s="67">
        <f t="shared" ref="H30:H71" si="74">G30-0.8</f>
        <v>-0.40469152559634475</v>
      </c>
      <c r="I30" s="67">
        <f>IF(H30&lt;0, 0, 0.00035*(10*H30/((1/COS(M$1))-0.8))^(3/(1+1/(DATOS!E$6))))</f>
        <v>0</v>
      </c>
      <c r="J30" s="67">
        <f t="shared" ref="J30:J71" si="75">0.5*C30*(E30+I30)</f>
        <v>109959.33483086192</v>
      </c>
      <c r="K30" s="67">
        <f t="shared" ref="K30:K71" si="76">M$5*A30^2*K$3</f>
        <v>6950657.0969552323</v>
      </c>
      <c r="L30" s="11">
        <f t="shared" si="51"/>
        <v>0.55056419078368002</v>
      </c>
      <c r="M30" s="67">
        <f t="shared" si="52"/>
        <v>3.2163232196703091E-2</v>
      </c>
      <c r="N30" s="67">
        <f t="shared" si="53"/>
        <v>111777.79906451669</v>
      </c>
      <c r="O30" s="67">
        <f>EDisponible!C43</f>
        <v>0.40217106490265375</v>
      </c>
      <c r="P30" s="67">
        <f t="shared" ref="P30:P71" si="77">O30-0.8</f>
        <v>-0.39782893509734629</v>
      </c>
      <c r="Q30" s="67">
        <f>IF(P30&lt;0, 0, 0.00035*(10*P30/((1/COS(M$1))-0.8))^(3/(1+1/(DATOS!E$6))))</f>
        <v>0</v>
      </c>
      <c r="R30" s="67">
        <f t="shared" ref="R30:R71" si="78">0.5*K30*(M30+Q30)</f>
        <v>111777.79906451669</v>
      </c>
      <c r="S30" s="67">
        <f t="shared" ref="S30:S71" si="79">U$5*A30^2*K$3</f>
        <v>5973210.3604452442</v>
      </c>
      <c r="T30" s="67">
        <f t="shared" si="54"/>
        <v>0.64065764791092195</v>
      </c>
      <c r="U30" s="67">
        <f t="shared" si="55"/>
        <v>3.8903590042187013E-2</v>
      </c>
      <c r="V30" s="67">
        <f t="shared" si="56"/>
        <v>116189.66354925295</v>
      </c>
      <c r="W30" s="67">
        <f>EDisponible!D43</f>
        <v>0.40940393644254353</v>
      </c>
      <c r="X30" s="67">
        <f t="shared" ref="X30:X71" si="80">W30-0.8</f>
        <v>-0.39059606355745652</v>
      </c>
      <c r="Y30" s="67">
        <f>IF(X30&lt;0, 0, 0.00035*(10*X30/((1/COS(M$1))-0.8))^(3/(1+1/(DATOS!E$6))))</f>
        <v>0</v>
      </c>
      <c r="Z30" s="67">
        <f t="shared" ref="Z30:Z71" si="81">0.5*S30*(U30+Y30)</f>
        <v>116189.66354925295</v>
      </c>
      <c r="AA30" s="67">
        <f t="shared" ref="AA30:AA71" si="82">AC$5*A30^2*K$3</f>
        <v>5104570.7736893566</v>
      </c>
      <c r="AB30" s="67">
        <f t="shared" si="57"/>
        <v>0.74967770448487125</v>
      </c>
      <c r="AC30" s="67">
        <f t="shared" si="58"/>
        <v>4.8423284809103052E-2</v>
      </c>
      <c r="AD30" s="67">
        <f t="shared" ref="AD30:AD71" si="83">0.5*AA30*AC30</f>
        <v>123590.04220129162</v>
      </c>
      <c r="AE30" s="67">
        <f>EDisponible!E43</f>
        <v>0.41704163191412141</v>
      </c>
      <c r="AF30" s="67">
        <f t="shared" ref="AF30:AF71" si="84">AE30-0.8</f>
        <v>-0.38295836808587863</v>
      </c>
      <c r="AG30" s="67">
        <f>IF(AF30&lt;0, 0, 0.00035*(10*AF30/((1/COS(M$1))-0.8))^(3/(1+1/(DATOS!E$6))))</f>
        <v>0</v>
      </c>
      <c r="AH30" s="67">
        <f t="shared" ref="AH30:AH71" si="85">0.5*AA30*(AC30+AG30)</f>
        <v>123590.04220129162</v>
      </c>
      <c r="AI30" s="67">
        <f t="shared" ref="AI30:AI71" si="86">AK$5*A30^2*K$3</f>
        <v>4336044.2801076211</v>
      </c>
      <c r="AJ30" s="67">
        <f t="shared" si="59"/>
        <v>0.88255161912346047</v>
      </c>
      <c r="AK30" s="67">
        <f t="shared" si="60"/>
        <v>6.2044566073725792E-2</v>
      </c>
      <c r="AL30" s="67">
        <f t="shared" si="61"/>
        <v>134513.99291786904</v>
      </c>
      <c r="AM30" s="67">
        <f>EDisponible!F43</f>
        <v>0.42512338079873357</v>
      </c>
      <c r="AN30" s="67">
        <f t="shared" ref="AN30:AN71" si="87">AM30-0.8</f>
        <v>-0.37487661920126647</v>
      </c>
      <c r="AO30" s="67">
        <f>IF(AN30&lt;0, 0, 0.00035*(10*AN30/((1/COS(M$1))-0.8))^(3/(1+1/(DATOS!E$6))))</f>
        <v>0</v>
      </c>
      <c r="AP30" s="67">
        <f t="shared" ref="AP30:AP71" si="88">0.5*AI30*(AK30+AO30)</f>
        <v>134513.99291786904</v>
      </c>
      <c r="AQ30" s="67">
        <f t="shared" ref="AQ30:AQ71" si="89">AS$5*A30^2*K$3</f>
        <v>3659338.0182093554</v>
      </c>
      <c r="AR30" s="67">
        <f t="shared" si="62"/>
        <v>1.0457582439658257</v>
      </c>
      <c r="AS30" s="67">
        <f t="shared" si="63"/>
        <v>8.1810241567215156E-2</v>
      </c>
      <c r="AT30" s="67">
        <f t="shared" si="64"/>
        <v>149685.66362290087</v>
      </c>
      <c r="AU30" s="67">
        <f>EDisponible!G43</f>
        <v>0.43369394971705216</v>
      </c>
      <c r="AV30" s="67">
        <f t="shared" ref="AV30:AV71" si="90">AU30-0.8</f>
        <v>-0.36630605028294788</v>
      </c>
      <c r="AW30" s="67">
        <f>IF(AV30&lt;0, 0, 0.00035*(10*AV30/((1/COS(M$1))-0.8))^(3/(1+1/(DATOS!E$6))))</f>
        <v>0</v>
      </c>
      <c r="AX30" s="67">
        <f t="shared" si="65"/>
        <v>149685.66362290087</v>
      </c>
      <c r="AY30" s="67">
        <f t="shared" ref="AY30:AY71" si="91">BA$5*A30^2*K$3</f>
        <v>3066556.4017126863</v>
      </c>
      <c r="AZ30" s="67">
        <f t="shared" si="66"/>
        <v>1.2479088588955103</v>
      </c>
      <c r="BA30" s="67">
        <f t="shared" si="67"/>
        <v>0.11093098830354903</v>
      </c>
      <c r="BB30" s="67">
        <f t="shared" si="68"/>
        <v>170088.06616528169</v>
      </c>
      <c r="BC30" s="67">
        <f>EDisponible!H43</f>
        <v>0.44280468958605002</v>
      </c>
      <c r="BD30" s="67">
        <f t="shared" ref="BD30:BD71" si="92">BC30-0.8</f>
        <v>-0.35719531041395003</v>
      </c>
      <c r="BE30" s="67">
        <f>IF(BD30&lt;0, 0, 0.00035*(10*BD30/((1/COS(M$1))-0.8))^(3/(1+1/(DATOS!E$6))))</f>
        <v>0</v>
      </c>
      <c r="BF30" s="67">
        <f t="shared" si="69"/>
        <v>170088.06616528169</v>
      </c>
      <c r="BG30" s="67">
        <f t="shared" ref="BG30:BG71" si="93">BI$5*A30^2*K$3</f>
        <v>2550197.0838602362</v>
      </c>
      <c r="BH30" s="67">
        <f t="shared" si="70"/>
        <v>1.5005831997138805</v>
      </c>
      <c r="BI30" s="67">
        <f t="shared" si="71"/>
        <v>0.15454767610072578</v>
      </c>
      <c r="BJ30" s="67">
        <f t="shared" si="72"/>
        <v>197063.51645472361</v>
      </c>
      <c r="BK30" s="67">
        <f>EDisponible!I43</f>
        <v>0.4525148354549498</v>
      </c>
      <c r="BL30" s="67">
        <f t="shared" ref="BL30:BL71" si="94">BK30-0.8</f>
        <v>-0.34748516454505024</v>
      </c>
      <c r="BM30" s="67">
        <f>IF(BL30&lt;0, 0, 0.00035*(10*BL30/((1/COS(M$1))-0.8))^(3/(1+1/(DATOS!E$6))))</f>
        <v>0</v>
      </c>
      <c r="BN30" s="67">
        <f t="shared" si="73"/>
        <v>197063.51645472361</v>
      </c>
    </row>
    <row r="31" spans="1:66">
      <c r="A31" s="41">
        <f>EDisponible!A44</f>
        <v>140</v>
      </c>
      <c r="B31" s="44"/>
      <c r="C31" s="67">
        <f t="shared" si="48"/>
        <v>8653047.8414709512</v>
      </c>
      <c r="D31" s="67">
        <f t="shared" si="1"/>
        <v>0.44224682101716856</v>
      </c>
      <c r="E31" s="67">
        <f t="shared" si="49"/>
        <v>2.5409221471283203E-2</v>
      </c>
      <c r="F31" s="67">
        <f t="shared" si="50"/>
        <v>109933.60450277223</v>
      </c>
      <c r="G31" s="67">
        <f>EDisponible!B44</f>
        <v>0.40994952901119808</v>
      </c>
      <c r="H31" s="67">
        <f t="shared" si="74"/>
        <v>-0.39005047098880197</v>
      </c>
      <c r="I31" s="67">
        <f>IF(H31&lt;0, 0, 0.00035*(10*H31/((1/COS(M$1))-0.8))^(3/(1+1/(DATOS!E$6))))</f>
        <v>0</v>
      </c>
      <c r="J31" s="67">
        <f t="shared" si="75"/>
        <v>109933.60450277223</v>
      </c>
      <c r="K31" s="67">
        <f t="shared" si="76"/>
        <v>7475055.094667905</v>
      </c>
      <c r="L31" s="11">
        <f t="shared" si="51"/>
        <v>0.51194042739962087</v>
      </c>
      <c r="M31" s="67">
        <f t="shared" si="52"/>
        <v>2.9585828369567004E-2</v>
      </c>
      <c r="N31" s="67">
        <f t="shared" si="53"/>
        <v>110577.84854195104</v>
      </c>
      <c r="O31" s="67">
        <f>EDisponible!C44</f>
        <v>0.41706628952867797</v>
      </c>
      <c r="P31" s="67">
        <f t="shared" si="77"/>
        <v>-0.38293371047132208</v>
      </c>
      <c r="Q31" s="67">
        <f>IF(P31&lt;0, 0, 0.00035*(10*P31/((1/COS(M$1))-0.8))^(3/(1+1/(DATOS!E$6))))</f>
        <v>0</v>
      </c>
      <c r="R31" s="67">
        <f t="shared" si="78"/>
        <v>110577.84854195104</v>
      </c>
      <c r="S31" s="67">
        <f t="shared" si="79"/>
        <v>6423864.091343035</v>
      </c>
      <c r="T31" s="67">
        <f t="shared" si="54"/>
        <v>0.59571355271308923</v>
      </c>
      <c r="U31" s="67">
        <f t="shared" si="55"/>
        <v>3.5413645089426252E-2</v>
      </c>
      <c r="V31" s="67">
        <f t="shared" si="56"/>
        <v>113746.22151676595</v>
      </c>
      <c r="W31" s="67">
        <f>EDisponible!D44</f>
        <v>0.42456704519967475</v>
      </c>
      <c r="X31" s="67">
        <f t="shared" si="80"/>
        <v>-0.37543295480032529</v>
      </c>
      <c r="Y31" s="67">
        <f>IF(X31&lt;0, 0, 0.00035*(10*X31/((1/COS(M$1))-0.8))^(3/(1+1/(DATOS!E$6))))</f>
        <v>0</v>
      </c>
      <c r="Z31" s="67">
        <f t="shared" si="81"/>
        <v>113746.22151676595</v>
      </c>
      <c r="AA31" s="67">
        <f t="shared" si="82"/>
        <v>5489689.2819923945</v>
      </c>
      <c r="AB31" s="67">
        <f t="shared" si="57"/>
        <v>0.6970855185835092</v>
      </c>
      <c r="AC31" s="67">
        <f t="shared" si="58"/>
        <v>4.3644519117540588E-2</v>
      </c>
      <c r="AD31" s="67">
        <f t="shared" si="83"/>
        <v>119797.42440863737</v>
      </c>
      <c r="AE31" s="67">
        <f>EDisponible!E44</f>
        <v>0.4324876182813111</v>
      </c>
      <c r="AF31" s="67">
        <f t="shared" si="84"/>
        <v>-0.36751238171868894</v>
      </c>
      <c r="AG31" s="67">
        <f>IF(AF31&lt;0, 0, 0.00035*(10*AF31/((1/COS(M$1))-0.8))^(3/(1+1/(DATOS!E$6))))</f>
        <v>0</v>
      </c>
      <c r="AH31" s="67">
        <f t="shared" si="85"/>
        <v>119797.42440863737</v>
      </c>
      <c r="AI31" s="67">
        <f t="shared" si="86"/>
        <v>4663180.6798413917</v>
      </c>
      <c r="AJ31" s="67">
        <f t="shared" si="59"/>
        <v>0.82063792135331981</v>
      </c>
      <c r="AK31" s="67">
        <f t="shared" si="60"/>
        <v>5.542168770704816E-2</v>
      </c>
      <c r="AL31" s="67">
        <f t="shared" si="61"/>
        <v>129220.67167985508</v>
      </c>
      <c r="AM31" s="67">
        <f>EDisponible!F44</f>
        <v>0.44086869119868666</v>
      </c>
      <c r="AN31" s="67">
        <f t="shared" si="87"/>
        <v>-0.35913130880131339</v>
      </c>
      <c r="AO31" s="67">
        <f>IF(AN31&lt;0, 0, 0.00035*(10*AN31/((1/COS(M$1))-0.8))^(3/(1+1/(DATOS!E$6))))</f>
        <v>0</v>
      </c>
      <c r="AP31" s="67">
        <f t="shared" si="88"/>
        <v>129220.67167985508</v>
      </c>
      <c r="AQ31" s="67">
        <f t="shared" si="89"/>
        <v>3935419.7616956574</v>
      </c>
      <c r="AR31" s="67">
        <f t="shared" si="62"/>
        <v>0.97239510185087641</v>
      </c>
      <c r="AS31" s="67">
        <f t="shared" si="63"/>
        <v>7.2511393737633545E-2</v>
      </c>
      <c r="AT31" s="67">
        <f t="shared" si="64"/>
        <v>142681.38593158888</v>
      </c>
      <c r="AU31" s="67">
        <f>EDisponible!G44</f>
        <v>0.44975668859546147</v>
      </c>
      <c r="AV31" s="67">
        <f t="shared" si="90"/>
        <v>-0.35024331140453857</v>
      </c>
      <c r="AW31" s="67">
        <f>IF(AV31&lt;0, 0, 0.00035*(10*AV31/((1/COS(M$1))-0.8))^(3/(1+1/(DATOS!E$6))))</f>
        <v>0</v>
      </c>
      <c r="AX31" s="67">
        <f t="shared" si="65"/>
        <v>142681.38593158888</v>
      </c>
      <c r="AY31" s="67">
        <f t="shared" si="91"/>
        <v>3297915.2523220112</v>
      </c>
      <c r="AZ31" s="67">
        <f t="shared" si="66"/>
        <v>1.1603642323148302</v>
      </c>
      <c r="BA31" s="67">
        <f t="shared" si="67"/>
        <v>9.7689637773816368E-2</v>
      </c>
      <c r="BB31" s="67">
        <f t="shared" si="68"/>
        <v>161086.07320404073</v>
      </c>
      <c r="BC31" s="67">
        <f>EDisponible!H44</f>
        <v>0.45920486327442223</v>
      </c>
      <c r="BD31" s="67">
        <f t="shared" si="92"/>
        <v>-0.34079513672557782</v>
      </c>
      <c r="BE31" s="67">
        <f>IF(BD31&lt;0, 0, 0.00035*(10*BD31/((1/COS(M$1))-0.8))^(3/(1+1/(DATOS!E$6))))</f>
        <v>0</v>
      </c>
      <c r="BF31" s="67">
        <f t="shared" si="69"/>
        <v>161086.07320404073</v>
      </c>
      <c r="BG31" s="67">
        <f t="shared" si="93"/>
        <v>2742598.7842886494</v>
      </c>
      <c r="BH31" s="67">
        <f t="shared" si="70"/>
        <v>1.3953126946319117</v>
      </c>
      <c r="BI31" s="67">
        <f t="shared" si="71"/>
        <v>0.13540129466745993</v>
      </c>
      <c r="BJ31" s="67">
        <f t="shared" si="72"/>
        <v>185675.7130730424</v>
      </c>
      <c r="BK31" s="67">
        <f>EDisponible!I44</f>
        <v>0.46927464417550352</v>
      </c>
      <c r="BL31" s="67">
        <f t="shared" si="94"/>
        <v>-0.33072535582449653</v>
      </c>
      <c r="BM31" s="67">
        <f>IF(BL31&lt;0, 0, 0.00035*(10*BL31/((1/COS(M$1))-0.8))^(3/(1+1/(DATOS!E$6))))</f>
        <v>0</v>
      </c>
      <c r="BN31" s="67">
        <f t="shared" si="73"/>
        <v>185675.7130730424</v>
      </c>
    </row>
    <row r="32" spans="1:66">
      <c r="A32" s="41">
        <f>EDisponible!A45</f>
        <v>145</v>
      </c>
      <c r="B32" s="44"/>
      <c r="C32" s="67">
        <f t="shared" si="48"/>
        <v>9282159.7381085064</v>
      </c>
      <c r="D32" s="67">
        <f t="shared" si="1"/>
        <v>0.41227289854632604</v>
      </c>
      <c r="E32" s="67">
        <f t="shared" si="49"/>
        <v>2.3800567172931553E-2</v>
      </c>
      <c r="F32" s="67">
        <f t="shared" si="50"/>
        <v>110460.33317836613</v>
      </c>
      <c r="G32" s="67">
        <f>EDisponible!B45</f>
        <v>0.42459058361874086</v>
      </c>
      <c r="H32" s="67">
        <f t="shared" si="74"/>
        <v>-0.37540941638125919</v>
      </c>
      <c r="I32" s="67">
        <f>IF(H32&lt;0, 0, 0.00035*(10*H32/((1/COS(M$1))-0.8))^(3/(1+1/(DATOS!E$6))))</f>
        <v>0</v>
      </c>
      <c r="J32" s="67">
        <f t="shared" si="75"/>
        <v>110460.33317836613</v>
      </c>
      <c r="K32" s="67">
        <f t="shared" si="76"/>
        <v>8018522.110479218</v>
      </c>
      <c r="L32" s="11">
        <f t="shared" si="51"/>
        <v>0.47724291924055029</v>
      </c>
      <c r="M32" s="67">
        <f t="shared" si="52"/>
        <v>2.7430208701081642E-2</v>
      </c>
      <c r="N32" s="67">
        <f t="shared" si="53"/>
        <v>109974.86748234129</v>
      </c>
      <c r="O32" s="67">
        <f>EDisponible!C45</f>
        <v>0.43196151415470219</v>
      </c>
      <c r="P32" s="67">
        <f t="shared" si="77"/>
        <v>-0.36803848584529786</v>
      </c>
      <c r="Q32" s="67">
        <f>IF(P32&lt;0, 0, 0.00035*(10*P32/((1/COS(M$1))-0.8))^(3/(1+1/(DATOS!E$6))))</f>
        <v>0</v>
      </c>
      <c r="R32" s="67">
        <f t="shared" si="78"/>
        <v>109974.86748234129</v>
      </c>
      <c r="S32" s="67">
        <f t="shared" si="79"/>
        <v>6890905.230637108</v>
      </c>
      <c r="T32" s="67">
        <f t="shared" si="54"/>
        <v>0.55533819896202374</v>
      </c>
      <c r="U32" s="67">
        <f t="shared" si="55"/>
        <v>3.2494818825999194E-2</v>
      </c>
      <c r="V32" s="67">
        <f t="shared" si="56"/>
        <v>111959.35850834151</v>
      </c>
      <c r="W32" s="67">
        <f>EDisponible!D45</f>
        <v>0.43973015395680598</v>
      </c>
      <c r="X32" s="67">
        <f t="shared" si="80"/>
        <v>-0.36026984604319406</v>
      </c>
      <c r="Y32" s="67">
        <f>IF(X32&lt;0, 0, 0.00035*(10*X32/((1/COS(M$1))-0.8))^(3/(1+1/(DATOS!E$6))))</f>
        <v>0</v>
      </c>
      <c r="Z32" s="67">
        <f t="shared" si="81"/>
        <v>111959.35850834151</v>
      </c>
      <c r="AA32" s="67">
        <f t="shared" si="82"/>
        <v>5888812.0996882701</v>
      </c>
      <c r="AB32" s="67">
        <f t="shared" si="57"/>
        <v>0.64983953218724277</v>
      </c>
      <c r="AC32" s="67">
        <f t="shared" si="58"/>
        <v>3.9647783640018849E-2</v>
      </c>
      <c r="AD32" s="67">
        <f t="shared" si="83"/>
        <v>116739.17401258282</v>
      </c>
      <c r="AE32" s="67">
        <f>EDisponible!E45</f>
        <v>0.44793360464850079</v>
      </c>
      <c r="AF32" s="67">
        <f t="shared" si="84"/>
        <v>-0.35206639535149925</v>
      </c>
      <c r="AG32" s="67">
        <f>IF(AF32&lt;0, 0, 0.00035*(10*AF32/((1/COS(M$1))-0.8))^(3/(1+1/(DATOS!E$6))))</f>
        <v>0</v>
      </c>
      <c r="AH32" s="67">
        <f t="shared" si="85"/>
        <v>116739.17401258282</v>
      </c>
      <c r="AI32" s="67">
        <f t="shared" si="86"/>
        <v>5002212.9486563904</v>
      </c>
      <c r="AJ32" s="67">
        <f t="shared" si="59"/>
        <v>0.76501799089298783</v>
      </c>
      <c r="AK32" s="67">
        <f t="shared" si="60"/>
        <v>4.9882622885739261E-2</v>
      </c>
      <c r="AL32" s="67">
        <f t="shared" si="61"/>
        <v>124761.75105599426</v>
      </c>
      <c r="AM32" s="67">
        <f>EDisponible!F45</f>
        <v>0.45661400159863974</v>
      </c>
      <c r="AN32" s="67">
        <f t="shared" si="87"/>
        <v>-0.3433859984013603</v>
      </c>
      <c r="AO32" s="67">
        <f>IF(AN32&lt;0, 0, 0.00035*(10*AN32/((1/COS(M$1))-0.8))^(3/(1+1/(DATOS!E$6))))</f>
        <v>0</v>
      </c>
      <c r="AP32" s="67">
        <f t="shared" si="88"/>
        <v>124761.75105599426</v>
      </c>
      <c r="AQ32" s="67">
        <f t="shared" si="89"/>
        <v>4221540.8413087353</v>
      </c>
      <c r="AR32" s="67">
        <f t="shared" si="62"/>
        <v>0.9064896074329214</v>
      </c>
      <c r="AS32" s="67">
        <f t="shared" si="63"/>
        <v>6.4734273573281362E-2</v>
      </c>
      <c r="AT32" s="67">
        <f t="shared" si="64"/>
        <v>136639.18986103003</v>
      </c>
      <c r="AU32" s="67">
        <f>EDisponible!G45</f>
        <v>0.46581942747387084</v>
      </c>
      <c r="AV32" s="67">
        <f t="shared" si="90"/>
        <v>-0.3341805725261292</v>
      </c>
      <c r="AW32" s="67">
        <f>IF(AV32&lt;0, 0, 0.00035*(10*AV32/((1/COS(M$1))-0.8))^(3/(1+1/(DATOS!E$6))))</f>
        <v>0</v>
      </c>
      <c r="AX32" s="67">
        <f t="shared" si="65"/>
        <v>136639.18986103003</v>
      </c>
      <c r="AY32" s="67">
        <f t="shared" si="91"/>
        <v>3537687.1520444024</v>
      </c>
      <c r="AZ32" s="67">
        <f t="shared" si="66"/>
        <v>1.0817188562839797</v>
      </c>
      <c r="BA32" s="67">
        <f t="shared" si="67"/>
        <v>8.6615193273236551E-2</v>
      </c>
      <c r="BB32" s="67">
        <f t="shared" si="68"/>
        <v>153208.72820728584</v>
      </c>
      <c r="BC32" s="67">
        <f>EDisponible!H45</f>
        <v>0.47560503696279444</v>
      </c>
      <c r="BD32" s="67">
        <f t="shared" si="92"/>
        <v>-0.32439496303720561</v>
      </c>
      <c r="BE32" s="67">
        <f>IF(BD32&lt;0, 0, 0.00035*(10*BD32/((1/COS(M$1))-0.8))^(3/(1+1/(DATOS!E$6))))</f>
        <v>0</v>
      </c>
      <c r="BF32" s="67">
        <f t="shared" si="69"/>
        <v>153208.72820728584</v>
      </c>
      <c r="BG32" s="67">
        <f t="shared" si="93"/>
        <v>2941996.9101871867</v>
      </c>
      <c r="BH32" s="67">
        <f t="shared" si="70"/>
        <v>1.3007433443417582</v>
      </c>
      <c r="BI32" s="67">
        <f t="shared" si="71"/>
        <v>0.1193881592932758</v>
      </c>
      <c r="BJ32" s="67">
        <f t="shared" si="72"/>
        <v>175619.79787687652</v>
      </c>
      <c r="BK32" s="67">
        <f>EDisponible!I45</f>
        <v>0.48603445289605718</v>
      </c>
      <c r="BL32" s="67">
        <f t="shared" si="94"/>
        <v>-0.31396554710394287</v>
      </c>
      <c r="BM32" s="67">
        <f>IF(BL32&lt;0, 0, 0.00035*(10*BL32/((1/COS(M$1))-0.8))^(3/(1+1/(DATOS!E$6))))</f>
        <v>0</v>
      </c>
      <c r="BN32" s="67">
        <f t="shared" si="73"/>
        <v>175619.79787687652</v>
      </c>
    </row>
    <row r="33" spans="1:66">
      <c r="A33" s="41">
        <f>EDisponible!A46</f>
        <v>150</v>
      </c>
      <c r="B33" s="44"/>
      <c r="C33" s="67">
        <f t="shared" si="48"/>
        <v>9933345.7363824677</v>
      </c>
      <c r="D33" s="67">
        <f t="shared" si="1"/>
        <v>0.38524611964162242</v>
      </c>
      <c r="E33" s="67">
        <f t="shared" si="49"/>
        <v>2.2446836117515936E-2</v>
      </c>
      <c r="F33" s="67">
        <f t="shared" si="50"/>
        <v>111486.09192160146</v>
      </c>
      <c r="G33" s="67">
        <f>EDisponible!B46</f>
        <v>0.43923163822628364</v>
      </c>
      <c r="H33" s="67">
        <f t="shared" si="74"/>
        <v>-0.36076836177371641</v>
      </c>
      <c r="I33" s="67">
        <f>IF(H33&lt;0, 0, 0.00035*(10*H33/((1/COS(M$1))-0.8))^(3/(1+1/(DATOS!E$6))))</f>
        <v>0</v>
      </c>
      <c r="J33" s="67">
        <f t="shared" si="75"/>
        <v>111486.09192160146</v>
      </c>
      <c r="K33" s="67">
        <f t="shared" si="76"/>
        <v>8581058.1443891749</v>
      </c>
      <c r="L33" s="11">
        <f t="shared" si="51"/>
        <v>0.44595699453478088</v>
      </c>
      <c r="M33" s="67">
        <f t="shared" si="52"/>
        <v>2.5616189808468436E-2</v>
      </c>
      <c r="N33" s="67">
        <f t="shared" si="53"/>
        <v>109907.00709208852</v>
      </c>
      <c r="O33" s="67">
        <f>EDisponible!C46</f>
        <v>0.4468567387807264</v>
      </c>
      <c r="P33" s="67">
        <f t="shared" si="77"/>
        <v>-0.35314326121927364</v>
      </c>
      <c r="Q33" s="67">
        <f>IF(P33&lt;0, 0, 0.00035*(10*P33/((1/COS(M$1))-0.8))^(3/(1+1/(DATOS!E$6))))</f>
        <v>0</v>
      </c>
      <c r="R33" s="67">
        <f t="shared" si="78"/>
        <v>109907.00709208852</v>
      </c>
      <c r="S33" s="67">
        <f t="shared" si="79"/>
        <v>7374333.7783274632</v>
      </c>
      <c r="T33" s="67">
        <f t="shared" si="54"/>
        <v>0.51893269480784665</v>
      </c>
      <c r="U33" s="67">
        <f t="shared" si="55"/>
        <v>3.0038538590890423E-2</v>
      </c>
      <c r="V33" s="67">
        <f t="shared" si="56"/>
        <v>110757.10489119815</v>
      </c>
      <c r="W33" s="67">
        <f>EDisponible!D46</f>
        <v>0.45489326271393726</v>
      </c>
      <c r="X33" s="67">
        <f t="shared" si="80"/>
        <v>-0.34510673728606278</v>
      </c>
      <c r="Y33" s="67">
        <f>IF(X33&lt;0, 0, 0.00035*(10*X33/((1/COS(M$1))-0.8))^(3/(1+1/(DATOS!E$6))))</f>
        <v>0</v>
      </c>
      <c r="Z33" s="67">
        <f t="shared" si="81"/>
        <v>110757.10489119815</v>
      </c>
      <c r="AA33" s="67">
        <f t="shared" si="82"/>
        <v>6301939.2267769827</v>
      </c>
      <c r="AB33" s="67">
        <f t="shared" si="57"/>
        <v>0.60723894063274586</v>
      </c>
      <c r="AC33" s="67">
        <f t="shared" si="58"/>
        <v>3.6284410327464059E-2</v>
      </c>
      <c r="AD33" s="67">
        <f t="shared" si="83"/>
        <v>114331.07438155881</v>
      </c>
      <c r="AE33" s="67">
        <f>EDisponible!E46</f>
        <v>0.46337959101569048</v>
      </c>
      <c r="AF33" s="67">
        <f t="shared" si="84"/>
        <v>-0.33662040898430956</v>
      </c>
      <c r="AG33" s="67">
        <f>IF(AF33&lt;0, 0, 0.00035*(10*AF33/((1/COS(M$1))-0.8))^(3/(1+1/(DATOS!E$6))))</f>
        <v>0</v>
      </c>
      <c r="AH33" s="67">
        <f t="shared" si="85"/>
        <v>114331.07438155881</v>
      </c>
      <c r="AI33" s="67">
        <f t="shared" si="86"/>
        <v>5353141.0865526181</v>
      </c>
      <c r="AJ33" s="67">
        <f t="shared" si="59"/>
        <v>0.71486681149000297</v>
      </c>
      <c r="AK33" s="67">
        <f t="shared" si="60"/>
        <v>4.522133296518302E-2</v>
      </c>
      <c r="AL33" s="67">
        <f t="shared" si="61"/>
        <v>121038.08774229878</v>
      </c>
      <c r="AM33" s="67">
        <f>EDisponible!F46</f>
        <v>0.47235931199859288</v>
      </c>
      <c r="AN33" s="67">
        <f t="shared" si="87"/>
        <v>-0.32764068800140717</v>
      </c>
      <c r="AO33" s="67">
        <f>IF(AN33&lt;0, 0, 0.00035*(10*AN33/((1/COS(M$1))-0.8))^(3/(1+1/(DATOS!E$6))))</f>
        <v>0</v>
      </c>
      <c r="AP33" s="67">
        <f t="shared" si="88"/>
        <v>121038.08774229878</v>
      </c>
      <c r="AQ33" s="67">
        <f t="shared" si="89"/>
        <v>4517701.2570485873</v>
      </c>
      <c r="AR33" s="67">
        <f t="shared" si="62"/>
        <v>0.84706417761231878</v>
      </c>
      <c r="AS33" s="67">
        <f t="shared" si="63"/>
        <v>5.8189592656461391E-2</v>
      </c>
      <c r="AT33" s="67">
        <f t="shared" si="64"/>
        <v>131441.59794562042</v>
      </c>
      <c r="AU33" s="67">
        <f>EDisponible!G46</f>
        <v>0.48188216635228015</v>
      </c>
      <c r="AV33" s="67">
        <f t="shared" si="90"/>
        <v>-0.31811783364771989</v>
      </c>
      <c r="AW33" s="67">
        <f>IF(AV33&lt;0, 0, 0.00035*(10*AV33/((1/COS(M$1))-0.8))^(3/(1+1/(DATOS!E$6))))</f>
        <v>0</v>
      </c>
      <c r="AX33" s="67">
        <f t="shared" si="65"/>
        <v>131441.59794562042</v>
      </c>
      <c r="AY33" s="67">
        <f t="shared" si="91"/>
        <v>3785872.1008798601</v>
      </c>
      <c r="AZ33" s="67">
        <f t="shared" si="66"/>
        <v>1.0108061757053632</v>
      </c>
      <c r="BA33" s="67">
        <f t="shared" si="67"/>
        <v>7.7295714590170039E-2</v>
      </c>
      <c r="BB33" s="67">
        <f t="shared" si="68"/>
        <v>146315.84469224856</v>
      </c>
      <c r="BC33" s="67">
        <f>EDisponible!H46</f>
        <v>0.49200521065116665</v>
      </c>
      <c r="BD33" s="67">
        <f t="shared" si="92"/>
        <v>-0.3079947893488334</v>
      </c>
      <c r="BE33" s="67">
        <f>IF(BD33&lt;0, 0, 0.00035*(10*BD33/((1/COS(M$1))-0.8))^(3/(1+1/(DATOS!E$6))))</f>
        <v>0</v>
      </c>
      <c r="BF33" s="67">
        <f t="shared" si="69"/>
        <v>146315.84469224856</v>
      </c>
      <c r="BG33" s="67">
        <f t="shared" si="93"/>
        <v>3148391.4615558474</v>
      </c>
      <c r="BH33" s="67">
        <f t="shared" si="70"/>
        <v>1.2154723917682431</v>
      </c>
      <c r="BI33" s="67">
        <f t="shared" si="71"/>
        <v>0.10591262345389768</v>
      </c>
      <c r="BJ33" s="67">
        <f t="shared" si="72"/>
        <v>166727.19967661554</v>
      </c>
      <c r="BK33" s="67">
        <f>EDisponible!I46</f>
        <v>0.50279426161661089</v>
      </c>
      <c r="BL33" s="67">
        <f t="shared" si="94"/>
        <v>-0.29720573838338915</v>
      </c>
      <c r="BM33" s="67">
        <f>IF(BL33&lt;0, 0, 0.00035*(10*BL33/((1/COS(M$1))-0.8))^(3/(1+1/(DATOS!E$6))))</f>
        <v>0</v>
      </c>
      <c r="BN33" s="67">
        <f t="shared" si="73"/>
        <v>166727.19967661554</v>
      </c>
    </row>
    <row r="34" spans="1:66">
      <c r="A34" s="41">
        <f>EDisponible!A47</f>
        <v>155</v>
      </c>
      <c r="B34" s="44"/>
      <c r="C34" s="67">
        <f t="shared" si="48"/>
        <v>10606605.836292835</v>
      </c>
      <c r="D34" s="67">
        <f t="shared" si="1"/>
        <v>0.36079241173513027</v>
      </c>
      <c r="E34" s="67">
        <f t="shared" si="49"/>
        <v>2.1301051378053021E-2</v>
      </c>
      <c r="F34" s="67">
        <f t="shared" si="50"/>
        <v>112965.92793281535</v>
      </c>
      <c r="G34" s="67">
        <f>EDisponible!B47</f>
        <v>0.45387269283382642</v>
      </c>
      <c r="H34" s="67">
        <f t="shared" si="74"/>
        <v>-0.34612730716617363</v>
      </c>
      <c r="I34" s="67">
        <f>IF(H34&lt;0, 0, 0.00035*(10*H34/((1/COS(M$1))-0.8))^(3/(1+1/(DATOS!E$6))))</f>
        <v>0</v>
      </c>
      <c r="J34" s="67">
        <f t="shared" si="75"/>
        <v>112965.92793281535</v>
      </c>
      <c r="K34" s="67">
        <f t="shared" si="76"/>
        <v>9162663.1963977758</v>
      </c>
      <c r="L34" s="11">
        <f t="shared" si="51"/>
        <v>0.41764963067773442</v>
      </c>
      <c r="M34" s="67">
        <f t="shared" si="52"/>
        <v>2.4080821940575717E-2</v>
      </c>
      <c r="N34" s="67">
        <f t="shared" si="53"/>
        <v>110322.23046696059</v>
      </c>
      <c r="O34" s="67">
        <f>EDisponible!C47</f>
        <v>0.46175196340675062</v>
      </c>
      <c r="P34" s="67">
        <f t="shared" si="77"/>
        <v>-0.33824803659324942</v>
      </c>
      <c r="Q34" s="67">
        <f>IF(P34&lt;0, 0, 0.00035*(10*P34/((1/COS(M$1))-0.8))^(3/(1+1/(DATOS!E$6))))</f>
        <v>0</v>
      </c>
      <c r="R34" s="67">
        <f t="shared" si="78"/>
        <v>110322.23046696059</v>
      </c>
      <c r="S34" s="67">
        <f t="shared" si="79"/>
        <v>7874149.7344141025</v>
      </c>
      <c r="T34" s="67">
        <f t="shared" si="54"/>
        <v>0.48599315850890945</v>
      </c>
      <c r="U34" s="67">
        <f t="shared" si="55"/>
        <v>2.7959566997549853E-2</v>
      </c>
      <c r="V34" s="67">
        <f t="shared" si="56"/>
        <v>110078.90852404524</v>
      </c>
      <c r="W34" s="67">
        <f>EDisponible!D47</f>
        <v>0.47005637147106849</v>
      </c>
      <c r="X34" s="67">
        <f t="shared" si="80"/>
        <v>-0.32994362852893155</v>
      </c>
      <c r="Y34" s="67">
        <f>IF(X34&lt;0, 0, 0.00035*(10*X34/((1/COS(M$1))-0.8))^(3/(1+1/(DATOS!E$6))))</f>
        <v>0</v>
      </c>
      <c r="Z34" s="67">
        <f t="shared" si="81"/>
        <v>110078.90852404524</v>
      </c>
      <c r="AA34" s="67">
        <f t="shared" si="82"/>
        <v>6729070.6632585339</v>
      </c>
      <c r="AB34" s="67">
        <f t="shared" si="57"/>
        <v>0.56869411713784723</v>
      </c>
      <c r="AC34" s="67">
        <f t="shared" si="58"/>
        <v>3.3437684015597775E-2</v>
      </c>
      <c r="AD34" s="67">
        <f t="shared" si="83"/>
        <v>112502.2692783339</v>
      </c>
      <c r="AE34" s="67">
        <f>EDisponible!E47</f>
        <v>0.47882557738288017</v>
      </c>
      <c r="AF34" s="67">
        <f t="shared" si="84"/>
        <v>-0.32117442261711987</v>
      </c>
      <c r="AG34" s="67">
        <f>IF(AF34&lt;0, 0, 0.00035*(10*AF34/((1/COS(M$1))-0.8))^(3/(1+1/(DATOS!E$6))))</f>
        <v>0</v>
      </c>
      <c r="AH34" s="67">
        <f t="shared" si="85"/>
        <v>112502.2692783339</v>
      </c>
      <c r="AI34" s="67">
        <f t="shared" si="86"/>
        <v>5715965.0935300728</v>
      </c>
      <c r="AJ34" s="67">
        <f t="shared" si="59"/>
        <v>0.66949025009469587</v>
      </c>
      <c r="AK34" s="67">
        <f t="shared" si="60"/>
        <v>4.1276062716842657E-2</v>
      </c>
      <c r="AL34" s="67">
        <f t="shared" si="61"/>
        <v>117966.26684391535</v>
      </c>
      <c r="AM34" s="67">
        <f>EDisponible!F47</f>
        <v>0.48810462239854596</v>
      </c>
      <c r="AN34" s="67">
        <f t="shared" si="87"/>
        <v>-0.31189537760145408</v>
      </c>
      <c r="AO34" s="67">
        <f>IF(AN34&lt;0, 0, 0.00035*(10*AN34/((1/COS(M$1))-0.8))^(3/(1+1/(DATOS!E$6))))</f>
        <v>0</v>
      </c>
      <c r="AP34" s="67">
        <f t="shared" si="88"/>
        <v>117966.26684391535</v>
      </c>
      <c r="AQ34" s="67">
        <f t="shared" si="89"/>
        <v>4823901.0089152129</v>
      </c>
      <c r="AR34" s="67">
        <f t="shared" si="62"/>
        <v>0.79329631618219254</v>
      </c>
      <c r="AS34" s="67">
        <f t="shared" si="63"/>
        <v>5.2650238669458227E-2</v>
      </c>
      <c r="AT34" s="67">
        <f t="shared" si="64"/>
        <v>126989.76971861316</v>
      </c>
      <c r="AU34" s="67">
        <f>EDisponible!G47</f>
        <v>0.49794490523068952</v>
      </c>
      <c r="AV34" s="67">
        <f t="shared" si="90"/>
        <v>-0.30205509476931053</v>
      </c>
      <c r="AW34" s="67">
        <f>IF(AV34&lt;0, 0, 0.00035*(10*AV34/((1/COS(M$1))-0.8))^(3/(1+1/(DATOS!E$6))))</f>
        <v>0</v>
      </c>
      <c r="AX34" s="67">
        <f t="shared" si="65"/>
        <v>126989.76971861316</v>
      </c>
      <c r="AY34" s="67">
        <f t="shared" si="91"/>
        <v>4042470.0988283837</v>
      </c>
      <c r="AZ34" s="67">
        <f t="shared" si="66"/>
        <v>0.94664470149305613</v>
      </c>
      <c r="BA34" s="67">
        <f t="shared" si="67"/>
        <v>6.9407798883361321E-2</v>
      </c>
      <c r="BB34" s="67">
        <f t="shared" si="68"/>
        <v>140289.47580574112</v>
      </c>
      <c r="BC34" s="67">
        <f>EDisponible!H47</f>
        <v>0.50840538433953886</v>
      </c>
      <c r="BD34" s="67">
        <f t="shared" si="92"/>
        <v>-0.29159461566046119</v>
      </c>
      <c r="BE34" s="67">
        <f>IF(BD34&lt;0, 0, 0.00035*(10*BD34/((1/COS(M$1))-0.8))^(3/(1+1/(DATOS!E$6))))</f>
        <v>0</v>
      </c>
      <c r="BF34" s="67">
        <f t="shared" si="69"/>
        <v>140289.47580574112</v>
      </c>
      <c r="BG34" s="67">
        <f t="shared" si="93"/>
        <v>3361782.4383946327</v>
      </c>
      <c r="BH34" s="67">
        <f t="shared" si="70"/>
        <v>1.1383196176809769</v>
      </c>
      <c r="BI34" s="67">
        <f t="shared" si="71"/>
        <v>9.4507061574322745E-2</v>
      </c>
      <c r="BJ34" s="67">
        <f t="shared" si="72"/>
        <v>158856.08995241919</v>
      </c>
      <c r="BK34" s="67">
        <f>EDisponible!I47</f>
        <v>0.51955407033716461</v>
      </c>
      <c r="BL34" s="67">
        <f t="shared" si="94"/>
        <v>-0.28044592966283544</v>
      </c>
      <c r="BM34" s="67">
        <f>IF(BL34&lt;0, 0, 0.00035*(10*BL34/((1/COS(M$1))-0.8))^(3/(1+1/(DATOS!E$6))))</f>
        <v>0</v>
      </c>
      <c r="BN34" s="67">
        <f t="shared" si="73"/>
        <v>158856.08995241919</v>
      </c>
    </row>
    <row r="35" spans="1:66">
      <c r="A35" s="41">
        <f>EDisponible!A48</f>
        <v>160</v>
      </c>
      <c r="B35" s="44"/>
      <c r="C35" s="67">
        <f t="shared" si="48"/>
        <v>11301940.037839608</v>
      </c>
      <c r="D35" s="67">
        <f t="shared" si="1"/>
        <v>0.33859522234126971</v>
      </c>
      <c r="E35" s="67">
        <f t="shared" si="49"/>
        <v>2.0326032573670147E-2</v>
      </c>
      <c r="F35" s="67">
        <f t="shared" si="50"/>
        <v>114861.80067739735</v>
      </c>
      <c r="G35" s="67">
        <f>EDisponible!B48</f>
        <v>0.46851374744136925</v>
      </c>
      <c r="H35" s="67">
        <f t="shared" si="74"/>
        <v>-0.33148625255863079</v>
      </c>
      <c r="I35" s="67">
        <f>IF(H35&lt;0, 0, 0.00035*(10*H35/((1/COS(M$1))-0.8))^(3/(1+1/(DATOS!E$6))))</f>
        <v>0</v>
      </c>
      <c r="J35" s="67">
        <f t="shared" si="75"/>
        <v>114861.80067739735</v>
      </c>
      <c r="K35" s="67">
        <f t="shared" si="76"/>
        <v>9763337.2665050179</v>
      </c>
      <c r="L35" s="11">
        <f t="shared" si="51"/>
        <v>0.39195438972783475</v>
      </c>
      <c r="M35" s="67">
        <f t="shared" si="52"/>
        <v>2.2774282857551835E-2</v>
      </c>
      <c r="N35" s="67">
        <f t="shared" si="53"/>
        <v>111176.50227053111</v>
      </c>
      <c r="O35" s="67">
        <f>EDisponible!C48</f>
        <v>0.47664718803277484</v>
      </c>
      <c r="P35" s="67">
        <f t="shared" si="77"/>
        <v>-0.32335281196722521</v>
      </c>
      <c r="Q35" s="67">
        <f>IF(P35&lt;0, 0, 0.00035*(10*P35/((1/COS(M$1))-0.8))^(3/(1+1/(DATOS!E$6))))</f>
        <v>0</v>
      </c>
      <c r="R35" s="67">
        <f t="shared" si="78"/>
        <v>111176.50227053111</v>
      </c>
      <c r="S35" s="67">
        <f t="shared" si="79"/>
        <v>8390353.098897025</v>
      </c>
      <c r="T35" s="67">
        <f t="shared" si="54"/>
        <v>0.456093188795959</v>
      </c>
      <c r="U35" s="67">
        <f t="shared" si="55"/>
        <v>2.6190442023660745E-2</v>
      </c>
      <c r="V35" s="67">
        <f t="shared" si="56"/>
        <v>109873.5281973524</v>
      </c>
      <c r="W35" s="67">
        <f>EDisponible!D48</f>
        <v>0.48521948022819972</v>
      </c>
      <c r="X35" s="67">
        <f t="shared" si="80"/>
        <v>-0.31478051977180033</v>
      </c>
      <c r="Y35" s="67">
        <f>IF(X35&lt;0, 0, 0.00035*(10*X35/((1/COS(M$1))-0.8))^(3/(1+1/(DATOS!E$6))))</f>
        <v>0</v>
      </c>
      <c r="Z35" s="67">
        <f t="shared" si="81"/>
        <v>109873.5281973524</v>
      </c>
      <c r="AA35" s="67">
        <f t="shared" si="82"/>
        <v>7170206.409132923</v>
      </c>
      <c r="AB35" s="67">
        <f t="shared" si="57"/>
        <v>0.53370610016549924</v>
      </c>
      <c r="AC35" s="67">
        <f t="shared" si="58"/>
        <v>3.1015229265238503E-2</v>
      </c>
      <c r="AD35" s="67">
        <f t="shared" si="83"/>
        <v>111192.79782917006</v>
      </c>
      <c r="AE35" s="67">
        <f>EDisponible!E48</f>
        <v>0.49427156375006986</v>
      </c>
      <c r="AF35" s="67">
        <f t="shared" si="84"/>
        <v>-0.30572843624993018</v>
      </c>
      <c r="AG35" s="67">
        <f>IF(AF35&lt;0, 0, 0.00035*(10*AF35/((1/COS(M$1))-0.8))^(3/(1+1/(DATOS!E$6))))</f>
        <v>0</v>
      </c>
      <c r="AH35" s="67">
        <f t="shared" si="85"/>
        <v>111192.79782917006</v>
      </c>
      <c r="AI35" s="67">
        <f t="shared" si="86"/>
        <v>6090684.9695887566</v>
      </c>
      <c r="AJ35" s="67">
        <f t="shared" si="59"/>
        <v>0.62830090853613552</v>
      </c>
      <c r="AK35" s="67">
        <f t="shared" si="60"/>
        <v>3.7918789270953275E-2</v>
      </c>
      <c r="AL35" s="67">
        <f t="shared" si="61"/>
        <v>115475.69993879925</v>
      </c>
      <c r="AM35" s="67">
        <f>EDisponible!F48</f>
        <v>0.50384993279849899</v>
      </c>
      <c r="AN35" s="67">
        <f t="shared" si="87"/>
        <v>-0.29615006720150105</v>
      </c>
      <c r="AO35" s="67">
        <f>IF(AN35&lt;0, 0, 0.00035*(10*AN35/((1/COS(M$1))-0.8))^(3/(1+1/(DATOS!E$6))))</f>
        <v>0</v>
      </c>
      <c r="AP35" s="67">
        <f t="shared" si="88"/>
        <v>115475.69993879925</v>
      </c>
      <c r="AQ35" s="67">
        <f t="shared" si="89"/>
        <v>5140140.096908614</v>
      </c>
      <c r="AR35" s="67">
        <f t="shared" si="62"/>
        <v>0.7444899998545772</v>
      </c>
      <c r="AS35" s="67">
        <f t="shared" si="63"/>
        <v>4.7936461189760755E-2</v>
      </c>
      <c r="AT35" s="67">
        <f t="shared" si="64"/>
        <v>123200.06313269644</v>
      </c>
      <c r="AU35" s="67">
        <f>EDisponible!G48</f>
        <v>0.51400764410909883</v>
      </c>
      <c r="AV35" s="67">
        <f t="shared" si="90"/>
        <v>-0.28599235589090122</v>
      </c>
      <c r="AW35" s="67">
        <f>IF(AV35&lt;0, 0, 0.00035*(10*AV35/((1/COS(M$1))-0.8))^(3/(1+1/(DATOS!E$6))))</f>
        <v>0</v>
      </c>
      <c r="AX35" s="67">
        <f t="shared" si="65"/>
        <v>123200.06313269644</v>
      </c>
      <c r="AY35" s="67">
        <f t="shared" si="91"/>
        <v>4307481.1458899742</v>
      </c>
      <c r="AZ35" s="67">
        <f t="shared" si="66"/>
        <v>0.88840386536604188</v>
      </c>
      <c r="BA35" s="67">
        <f t="shared" si="67"/>
        <v>6.2695485586947028E-2</v>
      </c>
      <c r="BB35" s="67">
        <f t="shared" si="68"/>
        <v>135029.81104909547</v>
      </c>
      <c r="BC35" s="67">
        <f>EDisponible!H48</f>
        <v>0.52480555802791107</v>
      </c>
      <c r="BD35" s="67">
        <f t="shared" si="92"/>
        <v>-0.27519444197208898</v>
      </c>
      <c r="BE35" s="67">
        <f>IF(BD35&lt;0, 0, 0.00035*(10*BD35/((1/COS(M$1))-0.8))^(3/(1+1/(DATOS!E$6))))</f>
        <v>0</v>
      </c>
      <c r="BF35" s="67">
        <f t="shared" si="69"/>
        <v>135029.81104909547</v>
      </c>
      <c r="BG35" s="67">
        <f t="shared" si="93"/>
        <v>3582169.8407035419</v>
      </c>
      <c r="BH35" s="67">
        <f t="shared" si="70"/>
        <v>1.0682862818275574</v>
      </c>
      <c r="BI35" s="67">
        <f t="shared" si="71"/>
        <v>8.4801366495550118E-2</v>
      </c>
      <c r="BJ35" s="67">
        <f t="shared" si="72"/>
        <v>151886.44875540372</v>
      </c>
      <c r="BK35" s="67">
        <f>EDisponible!I48</f>
        <v>0.53631387905771832</v>
      </c>
      <c r="BL35" s="67">
        <f t="shared" si="94"/>
        <v>-0.26368612094228172</v>
      </c>
      <c r="BM35" s="67">
        <f>IF(BL35&lt;0, 0, 0.00035*(10*BL35/((1/COS(M$1))-0.8))^(3/(1+1/(DATOS!E$6))))</f>
        <v>0</v>
      </c>
      <c r="BN35" s="67">
        <f t="shared" si="73"/>
        <v>151886.44875540372</v>
      </c>
    </row>
    <row r="36" spans="1:66">
      <c r="A36" s="41">
        <f>EDisponible!A49</f>
        <v>165</v>
      </c>
      <c r="B36" s="44"/>
      <c r="C36" s="67">
        <f t="shared" si="48"/>
        <v>12019348.341022786</v>
      </c>
      <c r="D36" s="67">
        <f t="shared" si="1"/>
        <v>0.31838522284431608</v>
      </c>
      <c r="E36" s="67">
        <f t="shared" si="49"/>
        <v>1.9492129065996684E-2</v>
      </c>
      <c r="F36" s="67">
        <f t="shared" si="50"/>
        <v>117141.34457619464</v>
      </c>
      <c r="G36" s="67">
        <f>EDisponible!B49</f>
        <v>0.48315480204891204</v>
      </c>
      <c r="H36" s="67">
        <f t="shared" si="74"/>
        <v>-0.31684519795108801</v>
      </c>
      <c r="I36" s="67">
        <f>IF(H36&lt;0, 0, 0.00035*(10*H36/((1/COS(M$1))-0.8))^(3/(1+1/(DATOS!E$6))))</f>
        <v>0</v>
      </c>
      <c r="J36" s="67">
        <f t="shared" si="75"/>
        <v>117141.34457619464</v>
      </c>
      <c r="K36" s="67">
        <f t="shared" si="76"/>
        <v>10383080.354710903</v>
      </c>
      <c r="L36" s="11">
        <f t="shared" si="51"/>
        <v>0.36855949961552137</v>
      </c>
      <c r="M36" s="67">
        <f t="shared" si="52"/>
        <v>2.1656840281728193E-2</v>
      </c>
      <c r="N36" s="67">
        <f t="shared" si="53"/>
        <v>112432.35643716187</v>
      </c>
      <c r="O36" s="67">
        <f>EDisponible!C49</f>
        <v>0.49154241265879905</v>
      </c>
      <c r="P36" s="67">
        <f t="shared" si="77"/>
        <v>-0.30845758734120099</v>
      </c>
      <c r="Q36" s="67">
        <f>IF(P36&lt;0, 0, 0.00035*(10*P36/((1/COS(M$1))-0.8))^(3/(1+1/(DATOS!E$6))))</f>
        <v>0</v>
      </c>
      <c r="R36" s="67">
        <f t="shared" si="78"/>
        <v>112432.35643716187</v>
      </c>
      <c r="S36" s="67">
        <f t="shared" si="79"/>
        <v>8922943.8717762306</v>
      </c>
      <c r="T36" s="67">
        <f t="shared" si="54"/>
        <v>0.42886999570896417</v>
      </c>
      <c r="U36" s="67">
        <f t="shared" si="55"/>
        <v>2.4677364004439747E-2</v>
      </c>
      <c r="V36" s="67">
        <f t="shared" si="56"/>
        <v>110097.36695750349</v>
      </c>
      <c r="W36" s="67">
        <f>EDisponible!D49</f>
        <v>0.50038258898533094</v>
      </c>
      <c r="X36" s="67">
        <f t="shared" si="80"/>
        <v>-0.2996174110146691</v>
      </c>
      <c r="Y36" s="67">
        <f>IF(X36&lt;0, 0, 0.00035*(10*X36/((1/COS(M$1))-0.8))^(3/(1+1/(DATOS!E$6))))</f>
        <v>0</v>
      </c>
      <c r="Z36" s="67">
        <f t="shared" si="81"/>
        <v>110097.36695750349</v>
      </c>
      <c r="AA36" s="67">
        <f t="shared" si="82"/>
        <v>7625346.4644001499</v>
      </c>
      <c r="AB36" s="67">
        <f t="shared" si="57"/>
        <v>0.50185036415929407</v>
      </c>
      <c r="AC36" s="67">
        <f t="shared" si="58"/>
        <v>2.894337844100394E-2</v>
      </c>
      <c r="AD36" s="67">
        <f t="shared" si="83"/>
        <v>110351.64423145246</v>
      </c>
      <c r="AE36" s="67">
        <f>EDisponible!E49</f>
        <v>0.5097175501172595</v>
      </c>
      <c r="AF36" s="67">
        <f t="shared" si="84"/>
        <v>-0.29028244988274055</v>
      </c>
      <c r="AG36" s="67">
        <f>IF(AF36&lt;0, 0, 0.00035*(10*AF36/((1/COS(M$1))-0.8))^(3/(1+1/(DATOS!E$6))))</f>
        <v>0</v>
      </c>
      <c r="AH36" s="67">
        <f t="shared" si="85"/>
        <v>110351.64423145246</v>
      </c>
      <c r="AI36" s="67">
        <f t="shared" si="86"/>
        <v>6477300.7147286674</v>
      </c>
      <c r="AJ36" s="67">
        <f t="shared" si="59"/>
        <v>0.59079901776033317</v>
      </c>
      <c r="AK36" s="67">
        <f t="shared" si="60"/>
        <v>3.5047416852122704E-2</v>
      </c>
      <c r="AL36" s="67">
        <f t="shared" si="61"/>
        <v>113506.32911282397</v>
      </c>
      <c r="AM36" s="67">
        <f>EDisponible!F49</f>
        <v>0.51959524319845218</v>
      </c>
      <c r="AN36" s="67">
        <f t="shared" si="87"/>
        <v>-0.28040475680154786</v>
      </c>
      <c r="AO36" s="67">
        <f>IF(AN36&lt;0, 0, 0.00035*(10*AN36/((1/COS(M$1))-0.8))^(3/(1+1/(DATOS!E$6))))</f>
        <v>0</v>
      </c>
      <c r="AP36" s="67">
        <f t="shared" si="88"/>
        <v>113506.32911282397</v>
      </c>
      <c r="AQ36" s="67">
        <f t="shared" si="89"/>
        <v>5466418.5210287897</v>
      </c>
      <c r="AR36" s="67">
        <f t="shared" si="62"/>
        <v>0.70005303934902385</v>
      </c>
      <c r="AS36" s="67">
        <f t="shared" si="63"/>
        <v>4.3904912713934298E-2</v>
      </c>
      <c r="AT36" s="67">
        <f t="shared" si="64"/>
        <v>120001.31401180141</v>
      </c>
      <c r="AU36" s="67">
        <f>EDisponible!G49</f>
        <v>0.53007038298750819</v>
      </c>
      <c r="AV36" s="67">
        <f t="shared" si="90"/>
        <v>-0.26992961701249185</v>
      </c>
      <c r="AW36" s="67">
        <f>IF(AV36&lt;0, 0, 0.00035*(10*AV36/((1/COS(M$1))-0.8))^(3/(1+1/(DATOS!E$6))))</f>
        <v>0</v>
      </c>
      <c r="AX36" s="67">
        <f t="shared" si="65"/>
        <v>120001.31401180141</v>
      </c>
      <c r="AY36" s="67">
        <f t="shared" si="91"/>
        <v>4580905.2420646306</v>
      </c>
      <c r="AZ36" s="67">
        <f t="shared" si="66"/>
        <v>0.83537700471517617</v>
      </c>
      <c r="BA36" s="67">
        <f t="shared" si="67"/>
        <v>5.6954651074502996E-2</v>
      </c>
      <c r="BB36" s="67">
        <f t="shared" si="68"/>
        <v>130451.92983357636</v>
      </c>
      <c r="BC36" s="67">
        <f>EDisponible!H49</f>
        <v>0.54120573171628328</v>
      </c>
      <c r="BD36" s="67">
        <f t="shared" si="92"/>
        <v>-0.25879426828371677</v>
      </c>
      <c r="BE36" s="67">
        <f>IF(BD36&lt;0, 0, 0.00035*(10*BD36/((1/COS(M$1))-0.8))^(3/(1+1/(DATOS!E$6))))</f>
        <v>0</v>
      </c>
      <c r="BF36" s="67">
        <f t="shared" si="69"/>
        <v>130451.92983357636</v>
      </c>
      <c r="BG36" s="67">
        <f t="shared" si="93"/>
        <v>3809553.6684825751</v>
      </c>
      <c r="BH36" s="67">
        <f t="shared" si="70"/>
        <v>1.0045226378249943</v>
      </c>
      <c r="BI36" s="67">
        <f t="shared" si="71"/>
        <v>7.6500384879384944E-2</v>
      </c>
      <c r="BJ36" s="67">
        <f t="shared" si="72"/>
        <v>145716.16092879491</v>
      </c>
      <c r="BK36" s="67">
        <f>EDisponible!I49</f>
        <v>0.55307368777827193</v>
      </c>
      <c r="BL36" s="67">
        <f t="shared" si="94"/>
        <v>-0.24692631222172812</v>
      </c>
      <c r="BM36" s="67">
        <f>IF(BL36&lt;0, 0, 0.00035*(10*BL36/((1/COS(M$1))-0.8))^(3/(1+1/(DATOS!E$6))))</f>
        <v>0</v>
      </c>
      <c r="BN36" s="67">
        <f t="shared" si="73"/>
        <v>145716.16092879491</v>
      </c>
    </row>
    <row r="37" spans="1:66">
      <c r="A37" s="41">
        <f>EDisponible!A50</f>
        <v>170</v>
      </c>
      <c r="B37" s="44"/>
      <c r="C37" s="67">
        <f t="shared" si="48"/>
        <v>12758830.745842371</v>
      </c>
      <c r="D37" s="67">
        <f t="shared" si="1"/>
        <v>0.29993210006700705</v>
      </c>
      <c r="E37" s="67">
        <f t="shared" si="49"/>
        <v>1.8775526531126498E-2</v>
      </c>
      <c r="F37" s="67">
        <f t="shared" si="50"/>
        <v>119776.88258735796</v>
      </c>
      <c r="G37" s="67">
        <f>EDisponible!B50</f>
        <v>0.49779585665645482</v>
      </c>
      <c r="H37" s="67">
        <f t="shared" si="74"/>
        <v>-0.30220414334354523</v>
      </c>
      <c r="I37" s="67">
        <f>IF(H37&lt;0, 0, 0.00035*(10*H37/((1/COS(M$1))-0.8))^(3/(1+1/(DATOS!E$6))))</f>
        <v>0</v>
      </c>
      <c r="J37" s="67">
        <f t="shared" si="75"/>
        <v>119776.88258735796</v>
      </c>
      <c r="K37" s="67">
        <f t="shared" si="76"/>
        <v>11021892.461015429</v>
      </c>
      <c r="L37" s="11">
        <f t="shared" si="51"/>
        <v>0.34719835214645572</v>
      </c>
      <c r="M37" s="67">
        <f t="shared" si="52"/>
        <v>2.0696582679933032E-2</v>
      </c>
      <c r="N37" s="67">
        <f t="shared" si="53"/>
        <v>114057.75430436819</v>
      </c>
      <c r="O37" s="67">
        <f>EDisponible!C50</f>
        <v>0.50643763728482327</v>
      </c>
      <c r="P37" s="67">
        <f t="shared" si="77"/>
        <v>-0.29356236271517677</v>
      </c>
      <c r="Q37" s="67">
        <f>IF(P37&lt;0, 0, 0.00035*(10*P37/((1/COS(M$1))-0.8))^(3/(1+1/(DATOS!E$6))))</f>
        <v>0</v>
      </c>
      <c r="R37" s="67">
        <f t="shared" si="78"/>
        <v>114057.75430436819</v>
      </c>
      <c r="S37" s="67">
        <f t="shared" si="79"/>
        <v>9471922.0530517194</v>
      </c>
      <c r="T37" s="67">
        <f t="shared" si="54"/>
        <v>0.40401334370853115</v>
      </c>
      <c r="U37" s="67">
        <f t="shared" si="55"/>
        <v>2.3377122988479541E-2</v>
      </c>
      <c r="V37" s="67">
        <f t="shared" si="56"/>
        <v>110713.14338574084</v>
      </c>
      <c r="W37" s="67">
        <f>EDisponible!D50</f>
        <v>0.51554569774246217</v>
      </c>
      <c r="X37" s="67">
        <f t="shared" si="80"/>
        <v>-0.28445430225753787</v>
      </c>
      <c r="Y37" s="67">
        <f>IF(X37&lt;0, 0, 0.00035*(10*X37/((1/COS(M$1))-0.8))^(3/(1+1/(DATOS!E$6))))</f>
        <v>0</v>
      </c>
      <c r="Z37" s="67">
        <f t="shared" si="81"/>
        <v>110713.14338574084</v>
      </c>
      <c r="AA37" s="67">
        <f t="shared" si="82"/>
        <v>8094490.8290602146</v>
      </c>
      <c r="AB37" s="67">
        <f t="shared" si="57"/>
        <v>0.47276388111545947</v>
      </c>
      <c r="AC37" s="67">
        <f t="shared" si="58"/>
        <v>2.7162964353693555E-2</v>
      </c>
      <c r="AD37" s="67">
        <f t="shared" si="83"/>
        <v>109935.182925531</v>
      </c>
      <c r="AE37" s="67">
        <f>EDisponible!E50</f>
        <v>0.52516353648444924</v>
      </c>
      <c r="AF37" s="67">
        <f t="shared" si="84"/>
        <v>-0.2748364635155508</v>
      </c>
      <c r="AG37" s="67">
        <f>IF(AF37&lt;0, 0, 0.00035*(10*AF37/((1/COS(M$1))-0.8))^(3/(1+1/(DATOS!E$6))))</f>
        <v>0</v>
      </c>
      <c r="AH37" s="67">
        <f t="shared" si="85"/>
        <v>109935.182925531</v>
      </c>
      <c r="AI37" s="67">
        <f t="shared" si="86"/>
        <v>6875812.3289498072</v>
      </c>
      <c r="AJ37" s="67">
        <f t="shared" si="59"/>
        <v>0.55655720617733795</v>
      </c>
      <c r="AK37" s="67">
        <f t="shared" si="60"/>
        <v>3.2579945813859541E-2</v>
      </c>
      <c r="AL37" s="67">
        <f t="shared" si="61"/>
        <v>112006.79655172605</v>
      </c>
      <c r="AM37" s="67">
        <f>EDisponible!F50</f>
        <v>0.53534055359840527</v>
      </c>
      <c r="AN37" s="67">
        <f t="shared" si="87"/>
        <v>-0.26465944640159478</v>
      </c>
      <c r="AO37" s="67">
        <f>IF(AN37&lt;0, 0, 0.00035*(10*AN37/((1/COS(M$1))-0.8))^(3/(1+1/(DATOS!E$6))))</f>
        <v>0</v>
      </c>
      <c r="AP37" s="67">
        <f t="shared" si="88"/>
        <v>112006.79655172605</v>
      </c>
      <c r="AQ37" s="67">
        <f t="shared" si="89"/>
        <v>5802736.2812757399</v>
      </c>
      <c r="AR37" s="67">
        <f t="shared" si="62"/>
        <v>0.65947903101305105</v>
      </c>
      <c r="AS37" s="67">
        <f t="shared" si="63"/>
        <v>4.044046169454784E-2</v>
      </c>
      <c r="AT37" s="67">
        <f t="shared" si="64"/>
        <v>117332.66715324727</v>
      </c>
      <c r="AU37" s="67">
        <f>EDisponible!G50</f>
        <v>0.54613312186591756</v>
      </c>
      <c r="AV37" s="67">
        <f t="shared" si="90"/>
        <v>-0.25386687813408249</v>
      </c>
      <c r="AW37" s="67">
        <f>IF(AV37&lt;0, 0, 0.00035*(10*AV37/((1/COS(M$1))-0.8))^(3/(1+1/(DATOS!E$6))))</f>
        <v>0</v>
      </c>
      <c r="AX37" s="67">
        <f t="shared" si="65"/>
        <v>117332.66715324727</v>
      </c>
      <c r="AY37" s="67">
        <f t="shared" si="91"/>
        <v>4862742.387352353</v>
      </c>
      <c r="AZ37" s="67">
        <f t="shared" si="66"/>
        <v>0.78695982537614795</v>
      </c>
      <c r="BA37" s="67">
        <f t="shared" si="67"/>
        <v>5.2021350607444006E-2</v>
      </c>
      <c r="BB37" s="67">
        <f t="shared" si="68"/>
        <v>126483.21332306802</v>
      </c>
      <c r="BC37" s="67">
        <f>EDisponible!H50</f>
        <v>0.55760590540465549</v>
      </c>
      <c r="BD37" s="67">
        <f t="shared" si="92"/>
        <v>-0.24239409459534456</v>
      </c>
      <c r="BE37" s="67">
        <f>IF(BD37&lt;0, 0, 0.00035*(10*BD37/((1/COS(M$1))-0.8))^(3/(1+1/(DATOS!E$6))))</f>
        <v>0</v>
      </c>
      <c r="BF37" s="67">
        <f t="shared" si="69"/>
        <v>126483.21332306802</v>
      </c>
      <c r="BG37" s="67">
        <f t="shared" si="93"/>
        <v>4043933.9217317333</v>
      </c>
      <c r="BH37" s="67">
        <f t="shared" si="70"/>
        <v>0.94630203511368394</v>
      </c>
      <c r="BI37" s="67">
        <f t="shared" si="71"/>
        <v>6.9367060204146749E-2</v>
      </c>
      <c r="BJ37" s="67">
        <f t="shared" si="72"/>
        <v>140257.90390517822</v>
      </c>
      <c r="BK37" s="67">
        <f>EDisponible!I50</f>
        <v>0.56983349649882564</v>
      </c>
      <c r="BL37" s="67">
        <f t="shared" si="94"/>
        <v>-0.2301665035011744</v>
      </c>
      <c r="BM37" s="67">
        <f>IF(BL37&lt;0, 0, 0.00035*(10*BL37/((1/COS(M$1))-0.8))^(3/(1+1/(DATOS!E$6))))</f>
        <v>0</v>
      </c>
      <c r="BN37" s="67">
        <f t="shared" si="73"/>
        <v>140257.90390517822</v>
      </c>
    </row>
    <row r="38" spans="1:66">
      <c r="A38" s="41">
        <f>EDisponible!A51</f>
        <v>175</v>
      </c>
      <c r="B38" s="44"/>
      <c r="C38" s="67">
        <f t="shared" si="48"/>
        <v>13520387.252298359</v>
      </c>
      <c r="D38" s="67">
        <f t="shared" si="1"/>
        <v>0.28303796545098792</v>
      </c>
      <c r="E38" s="67">
        <f t="shared" si="49"/>
        <v>1.8156970194458742E-2</v>
      </c>
      <c r="F38" s="67">
        <f t="shared" si="50"/>
        <v>122744.63417876062</v>
      </c>
      <c r="G38" s="67">
        <f>EDisponible!B51</f>
        <v>0.5124369112639976</v>
      </c>
      <c r="H38" s="67">
        <f t="shared" si="74"/>
        <v>-0.28756308873600245</v>
      </c>
      <c r="I38" s="67">
        <f>IF(H38&lt;0, 0, 0.00035*(10*H38/((1/COS(M$1))-0.8))^(3/(1+1/(DATOS!E$6))))</f>
        <v>0</v>
      </c>
      <c r="J38" s="67">
        <f t="shared" si="75"/>
        <v>122744.63417876062</v>
      </c>
      <c r="K38" s="67">
        <f t="shared" si="76"/>
        <v>11679773.585418601</v>
      </c>
      <c r="L38" s="11">
        <f t="shared" si="51"/>
        <v>0.32764187353575736</v>
      </c>
      <c r="M38" s="67">
        <f t="shared" si="52"/>
        <v>1.9867708379995783E-2</v>
      </c>
      <c r="N38" s="67">
        <f t="shared" si="53"/>
        <v>116025.16776973727</v>
      </c>
      <c r="O38" s="67">
        <f>EDisponible!C51</f>
        <v>0.52133286191084749</v>
      </c>
      <c r="P38" s="67">
        <f t="shared" si="77"/>
        <v>-0.27866713808915256</v>
      </c>
      <c r="Q38" s="67">
        <f>IF(P38&lt;0, 0, 0.00035*(10*P38/((1/COS(M$1))-0.8))^(3/(1+1/(DATOS!E$6))))</f>
        <v>0</v>
      </c>
      <c r="R38" s="67">
        <f t="shared" si="78"/>
        <v>116025.16776973727</v>
      </c>
      <c r="S38" s="67">
        <f t="shared" si="79"/>
        <v>10037287.642723491</v>
      </c>
      <c r="T38" s="67">
        <f t="shared" si="54"/>
        <v>0.38125667373637717</v>
      </c>
      <c r="U38" s="67">
        <f t="shared" si="55"/>
        <v>2.2254782108450138E-2</v>
      </c>
      <c r="V38" s="67">
        <f t="shared" si="56"/>
        <v>111688.82472432521</v>
      </c>
      <c r="W38" s="67">
        <f>EDisponible!D51</f>
        <v>0.5307088064995934</v>
      </c>
      <c r="X38" s="67">
        <f t="shared" si="80"/>
        <v>-0.26929119350040664</v>
      </c>
      <c r="Y38" s="67">
        <f>IF(X38&lt;0, 0, 0.00035*(10*X38/((1/COS(M$1))-0.8))^(3/(1+1/(DATOS!E$6))))</f>
        <v>0</v>
      </c>
      <c r="Z38" s="67">
        <f t="shared" si="81"/>
        <v>111688.82472432521</v>
      </c>
      <c r="AA38" s="67">
        <f t="shared" si="82"/>
        <v>8577639.5031131152</v>
      </c>
      <c r="AB38" s="67">
        <f t="shared" si="57"/>
        <v>0.44613473189344593</v>
      </c>
      <c r="AC38" s="67">
        <f t="shared" si="58"/>
        <v>2.5626148110365767E-2</v>
      </c>
      <c r="AD38" s="67">
        <f t="shared" si="83"/>
        <v>109905.93017205046</v>
      </c>
      <c r="AE38" s="67">
        <f>EDisponible!E51</f>
        <v>0.54060952285163888</v>
      </c>
      <c r="AF38" s="67">
        <f t="shared" si="84"/>
        <v>-0.25939047714836116</v>
      </c>
      <c r="AG38" s="67">
        <f>IF(AF38&lt;0, 0, 0.00035*(10*AF38/((1/COS(M$1))-0.8))^(3/(1+1/(DATOS!E$6))))</f>
        <v>0</v>
      </c>
      <c r="AH38" s="67">
        <f t="shared" si="85"/>
        <v>109905.93017205046</v>
      </c>
      <c r="AI38" s="67">
        <f t="shared" si="86"/>
        <v>7286219.8122521751</v>
      </c>
      <c r="AJ38" s="67">
        <f t="shared" si="59"/>
        <v>0.52520826966612466</v>
      </c>
      <c r="AK38" s="67">
        <f t="shared" si="60"/>
        <v>3.045007636462807E-2</v>
      </c>
      <c r="AL38" s="67">
        <f t="shared" si="61"/>
        <v>110932.97484627237</v>
      </c>
      <c r="AM38" s="67">
        <f>EDisponible!F51</f>
        <v>0.55108586399835835</v>
      </c>
      <c r="AN38" s="67">
        <f t="shared" si="87"/>
        <v>-0.24891413600164169</v>
      </c>
      <c r="AO38" s="67">
        <f>IF(AN38&lt;0, 0, 0.00035*(10*AN38/((1/COS(M$1))-0.8))^(3/(1+1/(DATOS!E$6))))</f>
        <v>0</v>
      </c>
      <c r="AP38" s="67">
        <f t="shared" si="88"/>
        <v>110932.97484627237</v>
      </c>
      <c r="AQ38" s="67">
        <f t="shared" si="89"/>
        <v>6149093.3776494656</v>
      </c>
      <c r="AR38" s="67">
        <f t="shared" si="62"/>
        <v>0.62233286518456077</v>
      </c>
      <c r="AS38" s="67">
        <f t="shared" si="63"/>
        <v>3.7450019954755831E-2</v>
      </c>
      <c r="AT38" s="67">
        <f t="shared" si="64"/>
        <v>115141.83484831471</v>
      </c>
      <c r="AU38" s="67">
        <f>EDisponible!G51</f>
        <v>0.56219586074432693</v>
      </c>
      <c r="AV38" s="67">
        <f t="shared" si="90"/>
        <v>-0.23780413925567312</v>
      </c>
      <c r="AW38" s="67">
        <f>IF(AV38&lt;0, 0, 0.00035*(10*AV38/((1/COS(M$1))-0.8))^(3/(1+1/(DATOS!E$6))))</f>
        <v>0</v>
      </c>
      <c r="AX38" s="67">
        <f t="shared" si="65"/>
        <v>115141.83484831471</v>
      </c>
      <c r="AY38" s="67">
        <f t="shared" si="91"/>
        <v>5152992.5817531431</v>
      </c>
      <c r="AZ38" s="67">
        <f t="shared" si="66"/>
        <v>0.74263310868149135</v>
      </c>
      <c r="BA38" s="67">
        <f t="shared" si="67"/>
        <v>4.7763028711976317E-2</v>
      </c>
      <c r="BB38" s="67">
        <f t="shared" si="68"/>
        <v>123061.26631743817</v>
      </c>
      <c r="BC38" s="67">
        <f>EDisponible!H51</f>
        <v>0.57400607909302781</v>
      </c>
      <c r="BD38" s="67">
        <f t="shared" si="92"/>
        <v>-0.22599392090697223</v>
      </c>
      <c r="BE38" s="67">
        <f>IF(BD38&lt;0, 0, 0.00035*(10*BD38/((1/COS(M$1))-0.8))^(3/(1+1/(DATOS!E$6))))</f>
        <v>0</v>
      </c>
      <c r="BF38" s="67">
        <f t="shared" si="69"/>
        <v>123061.26631743817</v>
      </c>
      <c r="BG38" s="67">
        <f t="shared" si="93"/>
        <v>4285310.6004510149</v>
      </c>
      <c r="BH38" s="67">
        <f t="shared" si="70"/>
        <v>0.89300012456442335</v>
      </c>
      <c r="BI38" s="67">
        <f t="shared" si="71"/>
        <v>6.3209723375612717E-2</v>
      </c>
      <c r="BJ38" s="67">
        <f t="shared" si="72"/>
        <v>135436.64881654474</v>
      </c>
      <c r="BK38" s="67">
        <f>EDisponible!I51</f>
        <v>0.58659330521937936</v>
      </c>
      <c r="BL38" s="67">
        <f t="shared" si="94"/>
        <v>-0.21340669478062069</v>
      </c>
      <c r="BM38" s="67">
        <f>IF(BL38&lt;0, 0, 0.00035*(10*BL38/((1/COS(M$1))-0.8))^(3/(1+1/(DATOS!E$6))))</f>
        <v>0</v>
      </c>
      <c r="BN38" s="67">
        <f t="shared" si="73"/>
        <v>135436.64881654474</v>
      </c>
    </row>
    <row r="39" spans="1:66">
      <c r="A39" s="41">
        <f>EDisponible!A52</f>
        <v>180</v>
      </c>
      <c r="B39" s="44"/>
      <c r="C39" s="67">
        <f t="shared" si="48"/>
        <v>14304017.860390754</v>
      </c>
      <c r="D39" s="67">
        <f t="shared" si="1"/>
        <v>0.26753202752890448</v>
      </c>
      <c r="E39" s="67">
        <f t="shared" si="49"/>
        <v>1.7620793869509065E-2</v>
      </c>
      <c r="F39" s="67">
        <f t="shared" si="50"/>
        <v>126024.07511186079</v>
      </c>
      <c r="G39" s="67">
        <f>EDisponible!B52</f>
        <v>0.52707796587154043</v>
      </c>
      <c r="H39" s="67">
        <f t="shared" si="74"/>
        <v>-0.27292203412845961</v>
      </c>
      <c r="I39" s="67">
        <f>IF(H39&lt;0, 0, 0.00035*(10*H39/((1/COS(M$1))-0.8))^(3/(1+1/(DATOS!E$6))))</f>
        <v>0</v>
      </c>
      <c r="J39" s="67">
        <f t="shared" si="75"/>
        <v>126024.07511186079</v>
      </c>
      <c r="K39" s="67">
        <f t="shared" si="76"/>
        <v>12356723.727920411</v>
      </c>
      <c r="L39" s="11">
        <f t="shared" si="51"/>
        <v>0.30969235731582007</v>
      </c>
      <c r="M39" s="67">
        <f t="shared" si="52"/>
        <v>1.9149224468926744E-2</v>
      </c>
      <c r="N39" s="67">
        <f t="shared" si="53"/>
        <v>118310.83818323062</v>
      </c>
      <c r="O39" s="67">
        <f>EDisponible!C52</f>
        <v>0.53622808653687171</v>
      </c>
      <c r="P39" s="67">
        <f t="shared" si="77"/>
        <v>-0.26377191346312834</v>
      </c>
      <c r="Q39" s="67">
        <f>IF(P39&lt;0, 0, 0.00035*(10*P39/((1/COS(M$1))-0.8))^(3/(1+1/(DATOS!E$6))))</f>
        <v>0</v>
      </c>
      <c r="R39" s="67">
        <f t="shared" si="78"/>
        <v>118310.83818323062</v>
      </c>
      <c r="S39" s="67">
        <f t="shared" si="79"/>
        <v>10619040.640791547</v>
      </c>
      <c r="T39" s="67">
        <f t="shared" si="54"/>
        <v>0.36036992694989356</v>
      </c>
      <c r="U39" s="67">
        <f t="shared" si="55"/>
        <v>2.1281915818474391E-2</v>
      </c>
      <c r="V39" s="67">
        <f t="shared" si="56"/>
        <v>112996.76449514202</v>
      </c>
      <c r="W39" s="67">
        <f>EDisponible!D52</f>
        <v>0.54587191525672474</v>
      </c>
      <c r="X39" s="67">
        <f t="shared" si="80"/>
        <v>-0.25412808474327531</v>
      </c>
      <c r="Y39" s="67">
        <f>IF(X39&lt;0, 0, 0.00035*(10*X39/((1/COS(M$1))-0.8))^(3/(1+1/(DATOS!E$6))))</f>
        <v>0</v>
      </c>
      <c r="Z39" s="67">
        <f t="shared" si="81"/>
        <v>112996.76449514202</v>
      </c>
      <c r="AA39" s="67">
        <f t="shared" si="82"/>
        <v>9074792.4865588564</v>
      </c>
      <c r="AB39" s="67">
        <f t="shared" si="57"/>
        <v>0.42169370877274009</v>
      </c>
      <c r="AC39" s="67">
        <f t="shared" si="58"/>
        <v>2.429400674081892E-2</v>
      </c>
      <c r="AD39" s="67">
        <f t="shared" si="83"/>
        <v>110231.53491999688</v>
      </c>
      <c r="AE39" s="67">
        <f>EDisponible!E52</f>
        <v>0.55605550921882863</v>
      </c>
      <c r="AF39" s="67">
        <f t="shared" si="84"/>
        <v>-0.24394449078117142</v>
      </c>
      <c r="AG39" s="67">
        <f>IF(AF39&lt;0, 0, 0.00035*(10*AF39/((1/COS(M$1))-0.8))^(3/(1+1/(DATOS!E$6))))</f>
        <v>0</v>
      </c>
      <c r="AH39" s="67">
        <f t="shared" si="85"/>
        <v>110231.53491999688</v>
      </c>
      <c r="AI39" s="67">
        <f t="shared" si="86"/>
        <v>7708523.16463577</v>
      </c>
      <c r="AJ39" s="67">
        <f t="shared" si="59"/>
        <v>0.49643528575694656</v>
      </c>
      <c r="AK39" s="67">
        <f t="shared" si="60"/>
        <v>2.860386526595346E-2</v>
      </c>
      <c r="AL39" s="67">
        <f t="shared" si="61"/>
        <v>110246.77900036138</v>
      </c>
      <c r="AM39" s="67">
        <f>EDisponible!F52</f>
        <v>0.56683117439831143</v>
      </c>
      <c r="AN39" s="67">
        <f t="shared" si="87"/>
        <v>-0.23316882560168861</v>
      </c>
      <c r="AO39" s="67">
        <f>IF(AN39&lt;0, 0, 0.00035*(10*AN39/((1/COS(M$1))-0.8))^(3/(1+1/(DATOS!E$6))))</f>
        <v>0</v>
      </c>
      <c r="AP39" s="67">
        <f t="shared" si="88"/>
        <v>110246.77900036138</v>
      </c>
      <c r="AQ39" s="67">
        <f t="shared" si="89"/>
        <v>6505489.8101499649</v>
      </c>
      <c r="AR39" s="67">
        <f t="shared" si="62"/>
        <v>0.58823901223077701</v>
      </c>
      <c r="AS39" s="67">
        <f t="shared" si="63"/>
        <v>3.4857848527565329E-2</v>
      </c>
      <c r="AT39" s="67">
        <f t="shared" si="64"/>
        <v>113383.6891999136</v>
      </c>
      <c r="AU39" s="67">
        <f>EDisponible!G52</f>
        <v>0.57825859962273618</v>
      </c>
      <c r="AV39" s="67">
        <f t="shared" si="90"/>
        <v>-0.22174140037726386</v>
      </c>
      <c r="AW39" s="67">
        <f>IF(AV39&lt;0, 0, 0.00035*(10*AV39/((1/COS(M$1))-0.8))^(3/(1+1/(DATOS!E$6))))</f>
        <v>0</v>
      </c>
      <c r="AX39" s="67">
        <f t="shared" si="65"/>
        <v>113383.6891999136</v>
      </c>
      <c r="AY39" s="67">
        <f t="shared" si="91"/>
        <v>5451655.8252669983</v>
      </c>
      <c r="AZ39" s="67">
        <f t="shared" si="66"/>
        <v>0.70194873312872452</v>
      </c>
      <c r="BA39" s="67">
        <f t="shared" si="67"/>
        <v>4.407183479960846E-2</v>
      </c>
      <c r="BB39" s="67">
        <f t="shared" si="68"/>
        <v>120132.23745774514</v>
      </c>
      <c r="BC39" s="67">
        <f>EDisponible!H52</f>
        <v>0.59040625278140002</v>
      </c>
      <c r="BD39" s="67">
        <f t="shared" si="92"/>
        <v>-0.20959374721860002</v>
      </c>
      <c r="BE39" s="67">
        <f>IF(BD39&lt;0, 0, 0.00035*(10*BD39/((1/COS(M$1))-0.8))^(3/(1+1/(DATOS!E$6))))</f>
        <v>0</v>
      </c>
      <c r="BF39" s="67">
        <f t="shared" si="69"/>
        <v>120132.23745774514</v>
      </c>
      <c r="BG39" s="67">
        <f t="shared" si="93"/>
        <v>4533683.7046404202</v>
      </c>
      <c r="BH39" s="67">
        <f t="shared" si="70"/>
        <v>0.84407804983905776</v>
      </c>
      <c r="BI39" s="67">
        <f t="shared" si="71"/>
        <v>5.7872427422933907E-2</v>
      </c>
      <c r="BJ39" s="67">
        <f t="shared" si="72"/>
        <v>131187.64057767042</v>
      </c>
      <c r="BK39" s="67">
        <f>EDisponible!I52</f>
        <v>0.60335311393993307</v>
      </c>
      <c r="BL39" s="67">
        <f t="shared" si="94"/>
        <v>-0.19664688606006697</v>
      </c>
      <c r="BM39" s="67">
        <f>IF(BL39&lt;0, 0, 0.00035*(10*BL39/((1/COS(M$1))-0.8))^(3/(1+1/(DATOS!E$6))))</f>
        <v>0</v>
      </c>
      <c r="BN39" s="67">
        <f t="shared" si="73"/>
        <v>131187.64057767042</v>
      </c>
    </row>
    <row r="40" spans="1:66">
      <c r="A40" s="41">
        <f>EDisponible!A53</f>
        <v>185</v>
      </c>
      <c r="B40" s="44"/>
      <c r="C40" s="67">
        <f t="shared" si="48"/>
        <v>15109722.570119556</v>
      </c>
      <c r="D40" s="67">
        <f t="shared" si="1"/>
        <v>0.25326625834730471</v>
      </c>
      <c r="E40" s="67">
        <f t="shared" si="49"/>
        <v>1.7154175540753588E-2</v>
      </c>
      <c r="F40" s="67">
        <f t="shared" si="50"/>
        <v>129597.41666995866</v>
      </c>
      <c r="G40" s="67">
        <f>EDisponible!B53</f>
        <v>0.54171902047908316</v>
      </c>
      <c r="H40" s="67">
        <f t="shared" si="74"/>
        <v>-0.25828097952091689</v>
      </c>
      <c r="I40" s="67">
        <f>IF(H40&lt;0, 0, 0.00035*(10*H40/((1/COS(M$1))-0.8))^(3/(1+1/(DATOS!E$6))))</f>
        <v>0</v>
      </c>
      <c r="J40" s="67">
        <f t="shared" si="75"/>
        <v>129597.41666995866</v>
      </c>
      <c r="K40" s="67">
        <f t="shared" si="76"/>
        <v>13052742.888520868</v>
      </c>
      <c r="L40" s="11">
        <f t="shared" si="51"/>
        <v>0.29317844783148483</v>
      </c>
      <c r="M40" s="67">
        <f t="shared" si="52"/>
        <v>1.8523949263326796E-2</v>
      </c>
      <c r="N40" s="67">
        <f t="shared" si="53"/>
        <v>120894.17350710511</v>
      </c>
      <c r="O40" s="67">
        <f>EDisponible!C53</f>
        <v>0.55112331116289592</v>
      </c>
      <c r="P40" s="67">
        <f t="shared" si="77"/>
        <v>-0.24887668883710412</v>
      </c>
      <c r="Q40" s="67">
        <f>IF(P40&lt;0, 0, 0.00035*(10*P40/((1/COS(M$1))-0.8))^(3/(1+1/(DATOS!E$6))))</f>
        <v>0</v>
      </c>
      <c r="R40" s="67">
        <f t="shared" si="78"/>
        <v>120894.17350710511</v>
      </c>
      <c r="S40" s="67">
        <f t="shared" si="79"/>
        <v>11217181.047255885</v>
      </c>
      <c r="T40" s="67">
        <f t="shared" si="54"/>
        <v>0.34115370732436967</v>
      </c>
      <c r="U40" s="67">
        <f t="shared" si="55"/>
        <v>2.0435259184812635E-2</v>
      </c>
      <c r="V40" s="67">
        <f t="shared" si="56"/>
        <v>114613.00101182102</v>
      </c>
      <c r="W40" s="67">
        <f>EDisponible!D53</f>
        <v>0.56103502401385597</v>
      </c>
      <c r="X40" s="67">
        <f t="shared" si="80"/>
        <v>-0.23896497598614408</v>
      </c>
      <c r="Y40" s="67">
        <f>IF(X40&lt;0, 0, 0.00035*(10*X40/((1/COS(M$1))-0.8))^(3/(1+1/(DATOS!E$6))))</f>
        <v>0</v>
      </c>
      <c r="Z40" s="67">
        <f t="shared" si="81"/>
        <v>114613.00101182102</v>
      </c>
      <c r="AA40" s="67">
        <f t="shared" si="82"/>
        <v>9585949.7793974336</v>
      </c>
      <c r="AB40" s="67">
        <f t="shared" si="57"/>
        <v>0.39920748471108197</v>
      </c>
      <c r="AC40" s="67">
        <f t="shared" si="58"/>
        <v>2.31346836774921E-2</v>
      </c>
      <c r="AD40" s="67">
        <f t="shared" si="83"/>
        <v>110883.95794734241</v>
      </c>
      <c r="AE40" s="67">
        <f>EDisponible!E53</f>
        <v>0.57150149558601826</v>
      </c>
      <c r="AF40" s="67">
        <f t="shared" si="84"/>
        <v>-0.22849850441398178</v>
      </c>
      <c r="AG40" s="67">
        <f>IF(AF40&lt;0, 0, 0.00035*(10*AF40/((1/COS(M$1))-0.8))^(3/(1+1/(DATOS!E$6))))</f>
        <v>0</v>
      </c>
      <c r="AH40" s="67">
        <f t="shared" si="85"/>
        <v>110883.95794734241</v>
      </c>
      <c r="AI40" s="67">
        <f t="shared" si="86"/>
        <v>8142722.386100593</v>
      </c>
      <c r="AJ40" s="67">
        <f t="shared" si="59"/>
        <v>0.46996357219941765</v>
      </c>
      <c r="AK40" s="67">
        <f t="shared" si="60"/>
        <v>2.6997162587549649E-2</v>
      </c>
      <c r="AL40" s="67">
        <f t="shared" si="61"/>
        <v>109915.20008141897</v>
      </c>
      <c r="AM40" s="67">
        <f>EDisponible!F53</f>
        <v>0.58257648479826452</v>
      </c>
      <c r="AN40" s="67">
        <f t="shared" si="87"/>
        <v>-0.21742351520173553</v>
      </c>
      <c r="AO40" s="67">
        <f>IF(AN40&lt;0, 0, 0.00035*(10*AN40/((1/COS(M$1))-0.8))^(3/(1+1/(DATOS!E$6))))</f>
        <v>0</v>
      </c>
      <c r="AP40" s="67">
        <f t="shared" si="88"/>
        <v>109915.20008141897</v>
      </c>
      <c r="AQ40" s="67">
        <f t="shared" si="89"/>
        <v>6871925.5787772387</v>
      </c>
      <c r="AR40" s="67">
        <f t="shared" si="62"/>
        <v>0.55687199404754351</v>
      </c>
      <c r="AS40" s="67">
        <f t="shared" si="63"/>
        <v>3.260195873363074E-2</v>
      </c>
      <c r="AT40" s="67">
        <f t="shared" si="64"/>
        <v>112019.11706993854</v>
      </c>
      <c r="AU40" s="67">
        <f>EDisponible!G53</f>
        <v>0.59432133850114555</v>
      </c>
      <c r="AV40" s="67">
        <f t="shared" si="90"/>
        <v>-0.2056786614988545</v>
      </c>
      <c r="AW40" s="67">
        <f>IF(AV40&lt;0, 0, 0.00035*(10*AV40/((1/COS(M$1))-0.8))^(3/(1+1/(DATOS!E$6))))</f>
        <v>0</v>
      </c>
      <c r="AX40" s="67">
        <f t="shared" si="65"/>
        <v>112019.11706993854</v>
      </c>
      <c r="AY40" s="67">
        <f t="shared" si="91"/>
        <v>5758732.1178939203</v>
      </c>
      <c r="AZ40" s="67">
        <f t="shared" si="66"/>
        <v>0.66451830396992473</v>
      </c>
      <c r="BA40" s="67">
        <f t="shared" si="67"/>
        <v>4.0859498382734526E-2</v>
      </c>
      <c r="BB40" s="67">
        <f t="shared" si="68"/>
        <v>117649.45282884401</v>
      </c>
      <c r="BC40" s="67">
        <f>EDisponible!H53</f>
        <v>0.60680642646977223</v>
      </c>
      <c r="BD40" s="67">
        <f t="shared" si="92"/>
        <v>-0.19319357353022781</v>
      </c>
      <c r="BE40" s="67">
        <f>IF(BD40&lt;0, 0, 0.00035*(10*BD40/((1/COS(M$1))-0.8))^(3/(1+1/(DATOS!E$6))))</f>
        <v>0</v>
      </c>
      <c r="BF40" s="67">
        <f t="shared" si="69"/>
        <v>117649.45282884401</v>
      </c>
      <c r="BG40" s="67">
        <f t="shared" si="93"/>
        <v>4789053.2342999503</v>
      </c>
      <c r="BH40" s="67">
        <f t="shared" si="70"/>
        <v>0.79906877471980919</v>
      </c>
      <c r="BI40" s="67">
        <f t="shared" si="71"/>
        <v>5.3227537297011039E-2</v>
      </c>
      <c r="BJ40" s="67">
        <f t="shared" si="72"/>
        <v>127454.75482303598</v>
      </c>
      <c r="BK40" s="67">
        <f>EDisponible!I53</f>
        <v>0.62011292266048679</v>
      </c>
      <c r="BL40" s="67">
        <f t="shared" si="94"/>
        <v>-0.17988707733951326</v>
      </c>
      <c r="BM40" s="67">
        <f>IF(BL40&lt;0, 0, 0.00035*(10*BL40/((1/COS(M$1))-0.8))^(3/(1+1/(DATOS!E$6))))</f>
        <v>0</v>
      </c>
      <c r="BN40" s="67">
        <f t="shared" si="73"/>
        <v>127454.75482303598</v>
      </c>
    </row>
    <row r="41" spans="1:66">
      <c r="A41" s="41">
        <f>EDisponible!A54</f>
        <v>190</v>
      </c>
      <c r="B41" s="44"/>
      <c r="C41" s="67">
        <f t="shared" si="48"/>
        <v>15937501.38148476</v>
      </c>
      <c r="D41" s="67">
        <f t="shared" si="1"/>
        <v>0.24011184742206385</v>
      </c>
      <c r="E41" s="67">
        <f t="shared" si="49"/>
        <v>1.6746562253518765E-2</v>
      </c>
      <c r="F41" s="67">
        <f t="shared" si="50"/>
        <v>133449.17952528791</v>
      </c>
      <c r="G41" s="67">
        <f>EDisponible!B54</f>
        <v>0.55636007508662599</v>
      </c>
      <c r="H41" s="67">
        <f t="shared" si="74"/>
        <v>-0.24363992491337405</v>
      </c>
      <c r="I41" s="67">
        <f>IF(H41&lt;0, 0, 0.00035*(10*H41/((1/COS(M$1))-0.8))^(3/(1+1/(DATOS!E$6))))</f>
        <v>0</v>
      </c>
      <c r="J41" s="67">
        <f t="shared" si="75"/>
        <v>133449.17952528791</v>
      </c>
      <c r="K41" s="67">
        <f t="shared" si="76"/>
        <v>13767831.067219967</v>
      </c>
      <c r="L41" s="11">
        <f t="shared" si="51"/>
        <v>0.27795103537486338</v>
      </c>
      <c r="M41" s="67">
        <f t="shared" si="52"/>
        <v>1.7977741653649751E-2</v>
      </c>
      <c r="N41" s="67">
        <f t="shared" si="53"/>
        <v>123757.25502878675</v>
      </c>
      <c r="O41" s="67">
        <f>EDisponible!C54</f>
        <v>0.56601853578892014</v>
      </c>
      <c r="P41" s="67">
        <f t="shared" si="77"/>
        <v>-0.2339814642110799</v>
      </c>
      <c r="Q41" s="67">
        <f>IF(P41&lt;0, 0, 0.00035*(10*P41/((1/COS(M$1))-0.8))^(3/(1+1/(DATOS!E$6))))</f>
        <v>0</v>
      </c>
      <c r="R41" s="67">
        <f t="shared" si="78"/>
        <v>123757.25502878675</v>
      </c>
      <c r="S41" s="67">
        <f t="shared" si="79"/>
        <v>11831708.862116506</v>
      </c>
      <c r="T41" s="67">
        <f t="shared" si="54"/>
        <v>0.32343450507414273</v>
      </c>
      <c r="U41" s="67">
        <f t="shared" si="55"/>
        <v>1.9695664376082157E-2</v>
      </c>
      <c r="V41" s="67">
        <f t="shared" si="56"/>
        <v>116516.68337188181</v>
      </c>
      <c r="W41" s="67">
        <f>EDisponible!D54</f>
        <v>0.57619813277098719</v>
      </c>
      <c r="X41" s="67">
        <f t="shared" si="80"/>
        <v>-0.22380186722901285</v>
      </c>
      <c r="Y41" s="67">
        <f>IF(X41&lt;0, 0, 0.00035*(10*X41/((1/COS(M$1))-0.8))^(3/(1+1/(DATOS!E$6))))</f>
        <v>0</v>
      </c>
      <c r="Z41" s="67">
        <f t="shared" si="81"/>
        <v>116516.68337188181</v>
      </c>
      <c r="AA41" s="67">
        <f t="shared" si="82"/>
        <v>10111111.381628849</v>
      </c>
      <c r="AB41" s="67">
        <f t="shared" si="57"/>
        <v>0.37847302394007704</v>
      </c>
      <c r="AC41" s="67">
        <f t="shared" si="58"/>
        <v>2.2121959882286373E-2</v>
      </c>
      <c r="AD41" s="67">
        <f t="shared" si="83"/>
        <v>111838.80017486126</v>
      </c>
      <c r="AE41" s="67">
        <f>EDisponible!E54</f>
        <v>0.58694748195320789</v>
      </c>
      <c r="AF41" s="67">
        <f t="shared" si="84"/>
        <v>-0.21305251804679215</v>
      </c>
      <c r="AG41" s="67">
        <f>IF(AF41&lt;0, 0, 0.00035*(10*AF41/((1/COS(M$1))-0.8))^(3/(1+1/(DATOS!E$6))))</f>
        <v>0</v>
      </c>
      <c r="AH41" s="67">
        <f t="shared" si="85"/>
        <v>111838.80017486126</v>
      </c>
      <c r="AI41" s="67">
        <f t="shared" si="86"/>
        <v>8588817.476646645</v>
      </c>
      <c r="AJ41" s="67">
        <f t="shared" si="59"/>
        <v>0.44555410688435093</v>
      </c>
      <c r="AK41" s="67">
        <f t="shared" si="60"/>
        <v>2.5593631435869624E-2</v>
      </c>
      <c r="AL41" s="67">
        <f t="shared" si="61"/>
        <v>109909.514483625</v>
      </c>
      <c r="AM41" s="67">
        <f>EDisponible!F54</f>
        <v>0.5983217951982176</v>
      </c>
      <c r="AN41" s="67">
        <f t="shared" si="87"/>
        <v>-0.20167820480178245</v>
      </c>
      <c r="AO41" s="67">
        <f>IF(AN41&lt;0, 0, 0.00035*(10*AN41/((1/COS(M$1))-0.8))^(3/(1+1/(DATOS!E$6))))</f>
        <v>0</v>
      </c>
      <c r="AP41" s="67">
        <f t="shared" si="88"/>
        <v>109909.514483625</v>
      </c>
      <c r="AQ41" s="67">
        <f t="shared" si="89"/>
        <v>7248400.6835312881</v>
      </c>
      <c r="AR41" s="67">
        <f t="shared" si="62"/>
        <v>0.52794858715449233</v>
      </c>
      <c r="AS41" s="67">
        <f t="shared" si="63"/>
        <v>3.0631331782482736E-2</v>
      </c>
      <c r="AT41" s="67">
        <f t="shared" si="64"/>
        <v>111014.08311481077</v>
      </c>
      <c r="AU41" s="67">
        <f>EDisponible!G54</f>
        <v>0.61038407737955491</v>
      </c>
      <c r="AV41" s="67">
        <f t="shared" si="90"/>
        <v>-0.18961592262044513</v>
      </c>
      <c r="AW41" s="67">
        <f>IF(AV41&lt;0, 0, 0.00035*(10*AV41/((1/COS(M$1))-0.8))^(3/(1+1/(DATOS!E$6))))</f>
        <v>0</v>
      </c>
      <c r="AX41" s="67">
        <f t="shared" si="65"/>
        <v>111014.08311481077</v>
      </c>
      <c r="AY41" s="67">
        <f t="shared" si="91"/>
        <v>6074221.4596339092</v>
      </c>
      <c r="AZ41" s="67">
        <f t="shared" si="66"/>
        <v>0.63000384912384133</v>
      </c>
      <c r="BA41" s="67">
        <f t="shared" si="67"/>
        <v>3.8053369849210275E-2</v>
      </c>
      <c r="BB41" s="67">
        <f t="shared" si="68"/>
        <v>115572.29787472951</v>
      </c>
      <c r="BC41" s="67">
        <f>EDisponible!H54</f>
        <v>0.62320660015814444</v>
      </c>
      <c r="BD41" s="67">
        <f t="shared" si="92"/>
        <v>-0.1767933998418556</v>
      </c>
      <c r="BE41" s="67">
        <f>IF(BD41&lt;0, 0, 0.00035*(10*BD41/((1/COS(M$1))-0.8))^(3/(1+1/(DATOS!E$6))))</f>
        <v>0</v>
      </c>
      <c r="BF41" s="67">
        <f t="shared" si="69"/>
        <v>115572.29787472951</v>
      </c>
      <c r="BG41" s="67">
        <f t="shared" si="93"/>
        <v>5051419.1894296044</v>
      </c>
      <c r="BH41" s="67">
        <f t="shared" si="70"/>
        <v>0.75756589514641182</v>
      </c>
      <c r="BI41" s="67">
        <f t="shared" si="71"/>
        <v>4.9170005013352752E-2</v>
      </c>
      <c r="BJ41" s="67">
        <f t="shared" si="72"/>
        <v>124189.15343439997</v>
      </c>
      <c r="BK41" s="67">
        <f>EDisponible!I54</f>
        <v>0.6368727313810405</v>
      </c>
      <c r="BL41" s="67">
        <f t="shared" si="94"/>
        <v>-0.16312726861895954</v>
      </c>
      <c r="BM41" s="67">
        <f>IF(BL41&lt;0, 0, 0.00035*(10*BL41/((1/COS(M$1))-0.8))^(3/(1+1/(DATOS!E$6))))</f>
        <v>0</v>
      </c>
      <c r="BN41" s="67">
        <f t="shared" si="73"/>
        <v>124189.15343439997</v>
      </c>
    </row>
    <row r="42" spans="1:66">
      <c r="A42" s="41">
        <f>EDisponible!A55</f>
        <v>195</v>
      </c>
      <c r="B42" s="44"/>
      <c r="C42" s="67">
        <f t="shared" si="48"/>
        <v>16787354.294486374</v>
      </c>
      <c r="D42" s="67">
        <f t="shared" si="1"/>
        <v>0.22795628381161087</v>
      </c>
      <c r="E42" s="67">
        <f t="shared" si="49"/>
        <v>1.6389222586794823E-2</v>
      </c>
      <c r="F42" s="67">
        <f t="shared" si="50"/>
        <v>137565.84308786158</v>
      </c>
      <c r="G42" s="67">
        <f>EDisponible!B55</f>
        <v>0.57100112969416872</v>
      </c>
      <c r="H42" s="67">
        <f t="shared" si="74"/>
        <v>-0.22899887030583133</v>
      </c>
      <c r="I42" s="67">
        <f>IF(H42&lt;0, 0, 0.00035*(10*H42/((1/COS(M$1))-0.8))^(3/(1+1/(DATOS!E$6))))</f>
        <v>0</v>
      </c>
      <c r="J42" s="67">
        <f t="shared" si="75"/>
        <v>137565.84308786158</v>
      </c>
      <c r="K42" s="67">
        <f t="shared" si="76"/>
        <v>14501988.264017709</v>
      </c>
      <c r="L42" s="11">
        <f t="shared" si="51"/>
        <v>0.26387987842294724</v>
      </c>
      <c r="M42" s="67">
        <f t="shared" si="52"/>
        <v>1.7498901411399176E-2</v>
      </c>
      <c r="N42" s="67">
        <f t="shared" si="53"/>
        <v>126884.43145065688</v>
      </c>
      <c r="O42" s="67">
        <f>EDisponible!C55</f>
        <v>0.58091376041494436</v>
      </c>
      <c r="P42" s="67">
        <f t="shared" si="77"/>
        <v>-0.21908623958505569</v>
      </c>
      <c r="Q42" s="67">
        <f>IF(P42&lt;0, 0, 0.00035*(10*P42/((1/COS(M$1))-0.8))^(3/(1+1/(DATOS!E$6))))</f>
        <v>0</v>
      </c>
      <c r="R42" s="67">
        <f t="shared" si="78"/>
        <v>126884.43145065688</v>
      </c>
      <c r="S42" s="67">
        <f t="shared" si="79"/>
        <v>12462624.085373413</v>
      </c>
      <c r="T42" s="67">
        <f t="shared" si="54"/>
        <v>0.30706076615848915</v>
      </c>
      <c r="U42" s="67">
        <f t="shared" si="55"/>
        <v>1.904728864658772E-2</v>
      </c>
      <c r="V42" s="67">
        <f t="shared" si="56"/>
        <v>118689.59912401183</v>
      </c>
      <c r="W42" s="67">
        <f>EDisponible!D55</f>
        <v>0.59136124152811842</v>
      </c>
      <c r="X42" s="67">
        <f t="shared" si="80"/>
        <v>-0.20863875847188162</v>
      </c>
      <c r="Y42" s="67">
        <f>IF(X42&lt;0, 0, 0.00035*(10*X42/((1/COS(M$1))-0.8))^(3/(1+1/(DATOS!E$6))))</f>
        <v>0</v>
      </c>
      <c r="Z42" s="67">
        <f t="shared" si="81"/>
        <v>118689.59912401183</v>
      </c>
      <c r="AA42" s="67">
        <f t="shared" si="82"/>
        <v>10650277.293253101</v>
      </c>
      <c r="AB42" s="67">
        <f t="shared" si="57"/>
        <v>0.35931298262292649</v>
      </c>
      <c r="AC42" s="67">
        <f t="shared" si="58"/>
        <v>2.1234141955846365E-2</v>
      </c>
      <c r="AD42" s="67">
        <f t="shared" si="83"/>
        <v>113074.74995703177</v>
      </c>
      <c r="AE42" s="67">
        <f>EDisponible!E55</f>
        <v>0.60239346832039764</v>
      </c>
      <c r="AF42" s="67">
        <f t="shared" si="84"/>
        <v>-0.1976065316796024</v>
      </c>
      <c r="AG42" s="67">
        <f>IF(AF42&lt;0, 0, 0.00035*(10*AF42/((1/COS(M$1))-0.8))^(3/(1+1/(DATOS!E$6))))</f>
        <v>0</v>
      </c>
      <c r="AH42" s="67">
        <f t="shared" si="85"/>
        <v>113074.74995703177</v>
      </c>
      <c r="AI42" s="67">
        <f t="shared" si="86"/>
        <v>9046808.436273925</v>
      </c>
      <c r="AJ42" s="67">
        <f t="shared" si="59"/>
        <v>0.4229981133076941</v>
      </c>
      <c r="AK42" s="67">
        <f t="shared" si="60"/>
        <v>2.4363206987784665E-2</v>
      </c>
      <c r="AL42" s="67">
        <f t="shared" si="61"/>
        <v>110204.63325588907</v>
      </c>
      <c r="AM42" s="67">
        <f>EDisponible!F55</f>
        <v>0.61406710559817068</v>
      </c>
      <c r="AN42" s="67">
        <f t="shared" si="87"/>
        <v>-0.18593289440182936</v>
      </c>
      <c r="AO42" s="67">
        <f>IF(AN42&lt;0, 0, 0.00035*(10*AN42/((1/COS(M$1))-0.8))^(3/(1+1/(DATOS!E$6))))</f>
        <v>0</v>
      </c>
      <c r="AP42" s="67">
        <f t="shared" si="88"/>
        <v>110204.63325588907</v>
      </c>
      <c r="AQ42" s="67">
        <f t="shared" si="89"/>
        <v>7634915.1244121119</v>
      </c>
      <c r="AR42" s="67">
        <f t="shared" si="62"/>
        <v>0.50122140687119454</v>
      </c>
      <c r="AS42" s="67">
        <f t="shared" si="63"/>
        <v>2.8903755179822188E-2</v>
      </c>
      <c r="AT42" s="67">
        <f t="shared" si="64"/>
        <v>110338.85878736468</v>
      </c>
      <c r="AU42" s="67">
        <f>EDisponible!G55</f>
        <v>0.62644681625796428</v>
      </c>
      <c r="AV42" s="67">
        <f t="shared" si="90"/>
        <v>-0.17355318374203577</v>
      </c>
      <c r="AW42" s="67">
        <f>IF(AV42&lt;0, 0, 0.00035*(10*AV42/((1/COS(M$1))-0.8))^(3/(1+1/(DATOS!E$6))))</f>
        <v>0</v>
      </c>
      <c r="AX42" s="67">
        <f t="shared" si="65"/>
        <v>110338.85878736468</v>
      </c>
      <c r="AY42" s="67">
        <f t="shared" si="91"/>
        <v>6398123.8504869631</v>
      </c>
      <c r="AZ42" s="67">
        <f t="shared" si="66"/>
        <v>0.59811016313926824</v>
      </c>
      <c r="BA42" s="67">
        <f t="shared" si="67"/>
        <v>3.5593339554917128E-2</v>
      </c>
      <c r="BB42" s="67">
        <f t="shared" si="68"/>
        <v>113865.29736239815</v>
      </c>
      <c r="BC42" s="67">
        <f>EDisponible!H55</f>
        <v>0.63960677384651665</v>
      </c>
      <c r="BD42" s="67">
        <f t="shared" si="92"/>
        <v>-0.16039322615348339</v>
      </c>
      <c r="BE42" s="67">
        <f>IF(BD42&lt;0, 0, 0.00035*(10*BD42/((1/COS(M$1))-0.8))^(3/(1+1/(DATOS!E$6))))</f>
        <v>0</v>
      </c>
      <c r="BF42" s="67">
        <f t="shared" si="69"/>
        <v>113865.29736239815</v>
      </c>
      <c r="BG42" s="67">
        <f t="shared" si="93"/>
        <v>5320781.5700293817</v>
      </c>
      <c r="BH42" s="67">
        <f t="shared" si="70"/>
        <v>0.71921443299896048</v>
      </c>
      <c r="BI42" s="67">
        <f t="shared" si="71"/>
        <v>4.5612914802187057E-2</v>
      </c>
      <c r="BJ42" s="67">
        <f t="shared" si="72"/>
        <v>121348.17821739864</v>
      </c>
      <c r="BK42" s="67">
        <f>EDisponible!I55</f>
        <v>0.65363254010159411</v>
      </c>
      <c r="BL42" s="67">
        <f t="shared" si="94"/>
        <v>-0.14636745989840594</v>
      </c>
      <c r="BM42" s="67">
        <f>IF(BL42&lt;0, 0, 0.00035*(10*BL42/((1/COS(M$1))-0.8))^(3/(1+1/(DATOS!E$6))))</f>
        <v>0</v>
      </c>
      <c r="BN42" s="67">
        <f t="shared" si="73"/>
        <v>121348.17821739864</v>
      </c>
    </row>
    <row r="43" spans="1:66">
      <c r="A43" s="41">
        <f>EDisponible!A56</f>
        <v>200</v>
      </c>
      <c r="B43" s="44"/>
      <c r="C43" s="67">
        <f t="shared" si="48"/>
        <v>17659281.309124388</v>
      </c>
      <c r="D43" s="67">
        <f t="shared" si="1"/>
        <v>0.21670094229841261</v>
      </c>
      <c r="E43" s="67">
        <f t="shared" si="49"/>
        <v>1.6074896021996434E-2</v>
      </c>
      <c r="F43" s="67">
        <f t="shared" si="50"/>
        <v>141935.55543367981</v>
      </c>
      <c r="G43" s="67">
        <f>EDisponible!B56</f>
        <v>0.58564218430171155</v>
      </c>
      <c r="H43" s="67">
        <f t="shared" si="74"/>
        <v>-0.21435781569828849</v>
      </c>
      <c r="I43" s="67">
        <f>IF(H43&lt;0, 0, 0.00035*(10*H43/((1/COS(M$1))-0.8))^(3/(1+1/(DATOS!E$6))))</f>
        <v>0</v>
      </c>
      <c r="J43" s="67">
        <f t="shared" si="75"/>
        <v>141935.55543367981</v>
      </c>
      <c r="K43" s="67">
        <f t="shared" si="76"/>
        <v>15255214.478914091</v>
      </c>
      <c r="L43" s="11">
        <f t="shared" si="51"/>
        <v>0.25085080942581423</v>
      </c>
      <c r="M43" s="67">
        <f t="shared" si="52"/>
        <v>1.7077699338274372E-2</v>
      </c>
      <c r="N43" s="67">
        <f t="shared" si="53"/>
        <v>130261.9831058924</v>
      </c>
      <c r="O43" s="67">
        <f>EDisponible!C56</f>
        <v>0.59580898504096858</v>
      </c>
      <c r="P43" s="67">
        <f t="shared" si="77"/>
        <v>-0.20419101495903147</v>
      </c>
      <c r="Q43" s="67">
        <f>IF(P43&lt;0, 0, 0.00035*(10*P43/((1/COS(M$1))-0.8))^(3/(1+1/(DATOS!E$6))))</f>
        <v>0</v>
      </c>
      <c r="R43" s="67">
        <f t="shared" si="78"/>
        <v>130261.9831058924</v>
      </c>
      <c r="S43" s="67">
        <f t="shared" si="79"/>
        <v>13109926.717026601</v>
      </c>
      <c r="T43" s="67">
        <f t="shared" si="54"/>
        <v>0.29189964082941378</v>
      </c>
      <c r="U43" s="67">
        <f t="shared" si="55"/>
        <v>1.8476958132712579E-2</v>
      </c>
      <c r="V43" s="67">
        <f t="shared" si="56"/>
        <v>121115.78353671529</v>
      </c>
      <c r="W43" s="67">
        <f>EDisponible!D56</f>
        <v>0.60652435028524965</v>
      </c>
      <c r="X43" s="67">
        <f t="shared" si="80"/>
        <v>-0.1934756497147504</v>
      </c>
      <c r="Y43" s="67">
        <f>IF(X43&lt;0, 0, 0.00035*(10*X43/((1/COS(M$1))-0.8))^(3/(1+1/(DATOS!E$6))))</f>
        <v>0</v>
      </c>
      <c r="Z43" s="67">
        <f t="shared" si="81"/>
        <v>121115.78353671529</v>
      </c>
      <c r="AA43" s="67">
        <f t="shared" si="82"/>
        <v>11203447.514270192</v>
      </c>
      <c r="AB43" s="67">
        <f t="shared" si="57"/>
        <v>0.34157190410591953</v>
      </c>
      <c r="AC43" s="67">
        <f t="shared" si="58"/>
        <v>2.0453190986862831E-2</v>
      </c>
      <c r="AD43" s="67">
        <f t="shared" si="83"/>
        <v>114573.12586033094</v>
      </c>
      <c r="AE43" s="67">
        <f>EDisponible!E56</f>
        <v>0.61783945468758728</v>
      </c>
      <c r="AF43" s="67">
        <f t="shared" si="84"/>
        <v>-0.18216054531241277</v>
      </c>
      <c r="AG43" s="67">
        <f>IF(AF43&lt;0, 0, 0.00035*(10*AF43/((1/COS(M$1))-0.8))^(3/(1+1/(DATOS!E$6))))</f>
        <v>0</v>
      </c>
      <c r="AH43" s="67">
        <f t="shared" si="85"/>
        <v>114573.12586033094</v>
      </c>
      <c r="AI43" s="67">
        <f t="shared" si="86"/>
        <v>9516695.2649824321</v>
      </c>
      <c r="AJ43" s="67">
        <f t="shared" si="59"/>
        <v>0.40211258146312667</v>
      </c>
      <c r="AK43" s="67">
        <f t="shared" si="60"/>
        <v>2.32808891652036E-2</v>
      </c>
      <c r="AL43" s="67">
        <f t="shared" si="61"/>
        <v>110778.56384153695</v>
      </c>
      <c r="AM43" s="67">
        <f>EDisponible!F56</f>
        <v>0.62981241599812376</v>
      </c>
      <c r="AN43" s="67">
        <f t="shared" si="87"/>
        <v>-0.17018758400187628</v>
      </c>
      <c r="AO43" s="67">
        <f>IF(AN43&lt;0, 0, 0.00035*(10*AN43/((1/COS(M$1))-0.8))^(3/(1+1/(DATOS!E$6))))</f>
        <v>0</v>
      </c>
      <c r="AP43" s="67">
        <f t="shared" si="88"/>
        <v>110778.56384153695</v>
      </c>
      <c r="AQ43" s="67">
        <f t="shared" si="89"/>
        <v>8031468.9014197094</v>
      </c>
      <c r="AR43" s="67">
        <f t="shared" si="62"/>
        <v>0.47647359990692939</v>
      </c>
      <c r="AS43" s="67">
        <f t="shared" si="63"/>
        <v>2.7384127583147146E-2</v>
      </c>
      <c r="AT43" s="67">
        <f t="shared" si="64"/>
        <v>109967.38453827798</v>
      </c>
      <c r="AU43" s="67">
        <f>EDisponible!G56</f>
        <v>0.64250955513637353</v>
      </c>
      <c r="AV43" s="67">
        <f t="shared" si="90"/>
        <v>-0.15749044486362651</v>
      </c>
      <c r="AW43" s="67">
        <f>IF(AV43&lt;0, 0, 0.00035*(10*AV43/((1/COS(M$1))-0.8))^(3/(1+1/(DATOS!E$6))))</f>
        <v>0</v>
      </c>
      <c r="AX43" s="67">
        <f t="shared" si="65"/>
        <v>109967.38453827798</v>
      </c>
      <c r="AY43" s="67">
        <f t="shared" si="91"/>
        <v>6730439.2904530838</v>
      </c>
      <c r="AZ43" s="67">
        <f t="shared" si="66"/>
        <v>0.56857847383426685</v>
      </c>
      <c r="BA43" s="67">
        <f t="shared" si="67"/>
        <v>3.3429423976234648E-2</v>
      </c>
      <c r="BB43" s="67">
        <f t="shared" si="68"/>
        <v>112497.35429343201</v>
      </c>
      <c r="BC43" s="67">
        <f>EDisponible!H56</f>
        <v>0.65600694753488886</v>
      </c>
      <c r="BD43" s="67">
        <f t="shared" si="92"/>
        <v>-0.14399305246511118</v>
      </c>
      <c r="BE43" s="67">
        <f>IF(BD43&lt;0, 0, 0.00035*(10*BD43/((1/COS(M$1))-0.8))^(3/(1+1/(DATOS!E$6))))</f>
        <v>0</v>
      </c>
      <c r="BF43" s="67">
        <f t="shared" si="69"/>
        <v>112497.35429343201</v>
      </c>
      <c r="BG43" s="67">
        <f t="shared" si="93"/>
        <v>5597140.3760992847</v>
      </c>
      <c r="BH43" s="67">
        <f t="shared" si="70"/>
        <v>0.68370322036963671</v>
      </c>
      <c r="BI43" s="67">
        <f t="shared" si="71"/>
        <v>4.2483992796398466E-2</v>
      </c>
      <c r="BJ43" s="67">
        <f t="shared" si="72"/>
        <v>118894.4357093165</v>
      </c>
      <c r="BK43" s="67">
        <f>EDisponible!I56</f>
        <v>0.67039234882214782</v>
      </c>
      <c r="BL43" s="67">
        <f t="shared" si="94"/>
        <v>-0.12960765117785222</v>
      </c>
      <c r="BM43" s="67">
        <f>IF(BL43&lt;0, 0, 0.00035*(10*BL43/((1/COS(M$1))-0.8))^(3/(1+1/(DATOS!E$6))))</f>
        <v>0</v>
      </c>
      <c r="BN43" s="67">
        <f t="shared" si="73"/>
        <v>118894.4357093165</v>
      </c>
    </row>
    <row r="44" spans="1:66">
      <c r="A44" s="41">
        <f>EDisponible!A57</f>
        <v>205</v>
      </c>
      <c r="B44" s="44"/>
      <c r="C44" s="67">
        <f t="shared" si="48"/>
        <v>18553282.425398808</v>
      </c>
      <c r="D44" s="67">
        <f t="shared" si="1"/>
        <v>0.20625907654816195</v>
      </c>
      <c r="E44" s="67">
        <f t="shared" si="49"/>
        <v>1.579751644801921E-2</v>
      </c>
      <c r="F44" s="67">
        <f t="shared" si="50"/>
        <v>146547.89213999169</v>
      </c>
      <c r="G44" s="67">
        <f>EDisponible!B57</f>
        <v>0.60028323890925428</v>
      </c>
      <c r="H44" s="67">
        <f t="shared" si="74"/>
        <v>-0.19971676109074576</v>
      </c>
      <c r="I44" s="67">
        <f>IF(H44&lt;0, 0, 0.00035*(10*H44/((1/COS(M$1))-0.8))^(3/(1+1/(DATOS!E$6))))</f>
        <v>0</v>
      </c>
      <c r="J44" s="67">
        <f t="shared" si="75"/>
        <v>146547.89213999169</v>
      </c>
      <c r="K44" s="67">
        <f t="shared" si="76"/>
        <v>16027509.711909117</v>
      </c>
      <c r="L44" s="11">
        <f t="shared" si="51"/>
        <v>0.23876341170809204</v>
      </c>
      <c r="M44" s="67">
        <f t="shared" si="52"/>
        <v>1.6706006759008539E-2</v>
      </c>
      <c r="N44" s="67">
        <f t="shared" si="53"/>
        <v>133877.84278861436</v>
      </c>
      <c r="O44" s="67">
        <f>EDisponible!C57</f>
        <v>0.61070420966699279</v>
      </c>
      <c r="P44" s="67">
        <f t="shared" si="77"/>
        <v>-0.18929579033300725</v>
      </c>
      <c r="Q44" s="67">
        <f>IF(P44&lt;0, 0, 0.00035*(10*P44/((1/COS(M$1))-0.8))^(3/(1+1/(DATOS!E$6))))</f>
        <v>0</v>
      </c>
      <c r="R44" s="67">
        <f t="shared" si="78"/>
        <v>133877.84278861436</v>
      </c>
      <c r="S44" s="67">
        <f t="shared" si="79"/>
        <v>13773616.757076073</v>
      </c>
      <c r="T44" s="67">
        <f t="shared" si="54"/>
        <v>0.2778342803849268</v>
      </c>
      <c r="U44" s="67">
        <f t="shared" si="55"/>
        <v>1.7973666166071562E-2</v>
      </c>
      <c r="V44" s="67">
        <f t="shared" si="56"/>
        <v>123781.19474554727</v>
      </c>
      <c r="W44" s="67">
        <f>EDisponible!D57</f>
        <v>0.62168745904238087</v>
      </c>
      <c r="X44" s="67">
        <f t="shared" si="80"/>
        <v>-0.17831254095761917</v>
      </c>
      <c r="Y44" s="67">
        <f>IF(X44&lt;0, 0, 0.00035*(10*X44/((1/COS(M$1))-0.8))^(3/(1+1/(DATOS!E$6))))</f>
        <v>0</v>
      </c>
      <c r="Z44" s="67">
        <f t="shared" si="81"/>
        <v>123781.19474554727</v>
      </c>
      <c r="AA44" s="67">
        <f t="shared" si="82"/>
        <v>11770622.04468012</v>
      </c>
      <c r="AB44" s="67">
        <f t="shared" si="57"/>
        <v>0.3251130556629811</v>
      </c>
      <c r="AC44" s="67">
        <f t="shared" si="58"/>
        <v>1.9764035594563443E-2</v>
      </c>
      <c r="AD44" s="67">
        <f t="shared" si="83"/>
        <v>116317.49653060551</v>
      </c>
      <c r="AE44" s="67">
        <f>EDisponible!E57</f>
        <v>0.63328544105477702</v>
      </c>
      <c r="AF44" s="67">
        <f t="shared" si="84"/>
        <v>-0.16671455894522302</v>
      </c>
      <c r="AG44" s="67">
        <f>IF(AF44&lt;0, 0, 0.00035*(10*AF44/((1/COS(M$1))-0.8))^(3/(1+1/(DATOS!E$6))))</f>
        <v>0</v>
      </c>
      <c r="AH44" s="67">
        <f t="shared" si="85"/>
        <v>116317.49653060551</v>
      </c>
      <c r="AI44" s="67">
        <f t="shared" si="86"/>
        <v>9998477.9627721682</v>
      </c>
      <c r="AJ44" s="67">
        <f t="shared" si="59"/>
        <v>0.38273654392683087</v>
      </c>
      <c r="AK44" s="67">
        <f t="shared" si="60"/>
        <v>2.2325790582530355E-2</v>
      </c>
      <c r="AL44" s="67">
        <f t="shared" si="61"/>
        <v>111611.96257044809</v>
      </c>
      <c r="AM44" s="67">
        <f>EDisponible!F57</f>
        <v>0.64555772639807685</v>
      </c>
      <c r="AN44" s="67">
        <f t="shared" si="87"/>
        <v>-0.1544422736019232</v>
      </c>
      <c r="AO44" s="67">
        <f>IF(AN44&lt;0, 0, 0.00035*(10*AN44/((1/COS(M$1))-0.8))^(3/(1+1/(DATOS!E$6))))</f>
        <v>0</v>
      </c>
      <c r="AP44" s="67">
        <f t="shared" si="88"/>
        <v>111611.96257044809</v>
      </c>
      <c r="AQ44" s="67">
        <f t="shared" si="89"/>
        <v>8438062.0145540833</v>
      </c>
      <c r="AR44" s="67">
        <f t="shared" si="62"/>
        <v>0.45351443179719625</v>
      </c>
      <c r="AS44" s="67">
        <f t="shared" si="63"/>
        <v>2.6043122073033432E-2</v>
      </c>
      <c r="AT44" s="67">
        <f t="shared" si="64"/>
        <v>109876.73955242919</v>
      </c>
      <c r="AU44" s="67">
        <f>EDisponible!G57</f>
        <v>0.6585722940147829</v>
      </c>
      <c r="AV44" s="67">
        <f t="shared" si="90"/>
        <v>-0.14142770598521714</v>
      </c>
      <c r="AW44" s="67">
        <f>IF(AV44&lt;0, 0, 0.00035*(10*AV44/((1/COS(M$1))-0.8))^(3/(1+1/(DATOS!E$6))))</f>
        <v>0</v>
      </c>
      <c r="AX44" s="67">
        <f t="shared" si="65"/>
        <v>109876.73955242919</v>
      </c>
      <c r="AY44" s="67">
        <f t="shared" si="91"/>
        <v>7071167.7795322714</v>
      </c>
      <c r="AZ44" s="67">
        <f t="shared" si="66"/>
        <v>0.54118117676075372</v>
      </c>
      <c r="BA44" s="67">
        <f t="shared" si="67"/>
        <v>3.1519862238356691E-2</v>
      </c>
      <c r="BB44" s="67">
        <f t="shared" si="68"/>
        <v>111441.11713758188</v>
      </c>
      <c r="BC44" s="67">
        <f>EDisponible!H57</f>
        <v>0.67240712122326107</v>
      </c>
      <c r="BD44" s="67">
        <f t="shared" si="92"/>
        <v>-0.12759287877673897</v>
      </c>
      <c r="BE44" s="67">
        <f>IF(BD44&lt;0, 0, 0.00035*(10*BD44/((1/COS(M$1))-0.8))^(3/(1+1/(DATOS!E$6))))</f>
        <v>0</v>
      </c>
      <c r="BF44" s="67">
        <f t="shared" si="69"/>
        <v>111441.11713758188</v>
      </c>
      <c r="BG44" s="67">
        <f t="shared" si="93"/>
        <v>5880495.60763931</v>
      </c>
      <c r="BH44" s="67">
        <f t="shared" si="70"/>
        <v>0.65075856787115938</v>
      </c>
      <c r="BI44" s="67">
        <f t="shared" si="71"/>
        <v>3.9722854699367864E-2</v>
      </c>
      <c r="BJ44" s="67">
        <f t="shared" si="72"/>
        <v>116795.03629126362</v>
      </c>
      <c r="BK44" s="67">
        <f>EDisponible!I57</f>
        <v>0.68715215754270154</v>
      </c>
      <c r="BL44" s="67">
        <f t="shared" si="94"/>
        <v>-0.11284784245729851</v>
      </c>
      <c r="BM44" s="67">
        <f>IF(BL44&lt;0, 0, 0.00035*(10*BL44/((1/COS(M$1))-0.8))^(3/(1+1/(DATOS!E$6))))</f>
        <v>0</v>
      </c>
      <c r="BN44" s="67">
        <f t="shared" si="73"/>
        <v>116795.03629126362</v>
      </c>
    </row>
    <row r="45" spans="1:66">
      <c r="A45" s="41">
        <f>EDisponible!A58</f>
        <v>210</v>
      </c>
      <c r="B45" s="44"/>
      <c r="C45" s="67">
        <f t="shared" si="48"/>
        <v>19469357.643309638</v>
      </c>
      <c r="D45" s="67">
        <f t="shared" si="1"/>
        <v>0.19655414267429716</v>
      </c>
      <c r="E45" s="67">
        <f t="shared" si="49"/>
        <v>1.5551992787787811E-2</v>
      </c>
      <c r="F45" s="67">
        <f t="shared" si="50"/>
        <v>151393.6548258065</v>
      </c>
      <c r="G45" s="67">
        <f>EDisponible!B58</f>
        <v>0.61492429351679712</v>
      </c>
      <c r="H45" s="67">
        <f t="shared" si="74"/>
        <v>-0.18507570648320293</v>
      </c>
      <c r="I45" s="67">
        <f>IF(H45&lt;0, 0, 0.00035*(10*H45/((1/COS(M$1))-0.8))^(3/(1+1/(DATOS!E$6))))</f>
        <v>0</v>
      </c>
      <c r="J45" s="67">
        <f t="shared" si="75"/>
        <v>151393.6548258065</v>
      </c>
      <c r="K45" s="67">
        <f t="shared" si="76"/>
        <v>16818873.963002786</v>
      </c>
      <c r="L45" s="11">
        <f t="shared" si="51"/>
        <v>0.22752907884427592</v>
      </c>
      <c r="M45" s="67">
        <f t="shared" si="52"/>
        <v>1.6377001557819175E-2</v>
      </c>
      <c r="N45" s="67">
        <f t="shared" si="53"/>
        <v>137721.36254643049</v>
      </c>
      <c r="O45" s="67">
        <f>EDisponible!C58</f>
        <v>0.62559943429301701</v>
      </c>
      <c r="P45" s="67">
        <f t="shared" si="77"/>
        <v>-0.17440056570698304</v>
      </c>
      <c r="Q45" s="67">
        <f>IF(P45&lt;0, 0, 0.00035*(10*P45/((1/COS(M$1))-0.8))^(3/(1+1/(DATOS!E$6))))</f>
        <v>0</v>
      </c>
      <c r="R45" s="67">
        <f t="shared" si="78"/>
        <v>137721.36254643049</v>
      </c>
      <c r="S45" s="67">
        <f t="shared" si="79"/>
        <v>14453694.205521828</v>
      </c>
      <c r="T45" s="67">
        <f t="shared" si="54"/>
        <v>0.26476157898359526</v>
      </c>
      <c r="U45" s="67">
        <f t="shared" si="55"/>
        <v>1.7528175230877796E-2</v>
      </c>
      <c r="V45" s="67">
        <f t="shared" si="56"/>
        <v>126673.44238395481</v>
      </c>
      <c r="W45" s="67">
        <f>EDisponible!D58</f>
        <v>0.6368505677995121</v>
      </c>
      <c r="X45" s="67">
        <f t="shared" si="80"/>
        <v>-0.16314943220048794</v>
      </c>
      <c r="Y45" s="67">
        <f>IF(X45&lt;0, 0, 0.00035*(10*X45/((1/COS(M$1))-0.8))^(3/(1+1/(DATOS!E$6))))</f>
        <v>0</v>
      </c>
      <c r="Z45" s="67">
        <f t="shared" si="81"/>
        <v>126673.44238395481</v>
      </c>
      <c r="AA45" s="67">
        <f t="shared" si="82"/>
        <v>12351800.884482887</v>
      </c>
      <c r="AB45" s="67">
        <f t="shared" si="57"/>
        <v>0.30981578603711518</v>
      </c>
      <c r="AC45" s="67">
        <f t="shared" si="58"/>
        <v>1.915402689075223E-2</v>
      </c>
      <c r="AD45" s="67">
        <f t="shared" si="83"/>
        <v>118293.36314530119</v>
      </c>
      <c r="AE45" s="67">
        <f>EDisponible!E58</f>
        <v>0.64873142742196666</v>
      </c>
      <c r="AF45" s="67">
        <f t="shared" si="84"/>
        <v>-0.15126857257803339</v>
      </c>
      <c r="AG45" s="67">
        <f>IF(AF45&lt;0, 0, 0.00035*(10*AF45/((1/COS(M$1))-0.8))^(3/(1+1/(DATOS!E$6))))</f>
        <v>0</v>
      </c>
      <c r="AH45" s="67">
        <f t="shared" si="85"/>
        <v>118293.36314530119</v>
      </c>
      <c r="AI45" s="67">
        <f t="shared" si="86"/>
        <v>10492156.529643131</v>
      </c>
      <c r="AJ45" s="67">
        <f t="shared" si="59"/>
        <v>0.36472796504591992</v>
      </c>
      <c r="AK45" s="67">
        <f t="shared" si="60"/>
        <v>2.1480381180037679E-2</v>
      </c>
      <c r="AL45" s="67">
        <f t="shared" si="61"/>
        <v>112687.76082867789</v>
      </c>
      <c r="AM45" s="67">
        <f>EDisponible!F58</f>
        <v>0.66130303679803004</v>
      </c>
      <c r="AN45" s="67">
        <f t="shared" si="87"/>
        <v>-0.13869696320197</v>
      </c>
      <c r="AO45" s="67">
        <f>IF(AN45&lt;0, 0, 0.00035*(10*AN45/((1/COS(M$1))-0.8))^(3/(1+1/(DATOS!E$6))))</f>
        <v>0</v>
      </c>
      <c r="AP45" s="67">
        <f t="shared" si="88"/>
        <v>112687.76082867789</v>
      </c>
      <c r="AQ45" s="67">
        <f t="shared" si="89"/>
        <v>8854694.4638152309</v>
      </c>
      <c r="AR45" s="67">
        <f t="shared" si="62"/>
        <v>0.43217560082261164</v>
      </c>
      <c r="AS45" s="67">
        <f t="shared" si="63"/>
        <v>2.4856125581140958E-2</v>
      </c>
      <c r="AT45" s="67">
        <f t="shared" si="64"/>
        <v>110046.69878761249</v>
      </c>
      <c r="AU45" s="67">
        <f>EDisponible!G58</f>
        <v>0.67463503289319227</v>
      </c>
      <c r="AV45" s="67">
        <f t="shared" si="90"/>
        <v>-0.12536496710680778</v>
      </c>
      <c r="AW45" s="67">
        <f>IF(AV45&lt;0, 0, 0.00035*(10*AV45/((1/COS(M$1))-0.8))^(3/(1+1/(DATOS!E$6))))</f>
        <v>0</v>
      </c>
      <c r="AX45" s="67">
        <f t="shared" si="65"/>
        <v>110046.69878761249</v>
      </c>
      <c r="AY45" s="67">
        <f t="shared" si="91"/>
        <v>7420309.3177245259</v>
      </c>
      <c r="AZ45" s="67">
        <f t="shared" si="66"/>
        <v>0.51571743658436897</v>
      </c>
      <c r="BA45" s="67">
        <f t="shared" si="67"/>
        <v>2.9829605884584484E-2</v>
      </c>
      <c r="BB45" s="67">
        <f t="shared" si="68"/>
        <v>110672.4512447163</v>
      </c>
      <c r="BC45" s="67">
        <f>EDisponible!H58</f>
        <v>0.68880729491163328</v>
      </c>
      <c r="BD45" s="67">
        <f t="shared" si="92"/>
        <v>-0.11119270508836676</v>
      </c>
      <c r="BE45" s="67">
        <f>IF(BD45&lt;0, 0, 0.00035*(10*BD45/((1/COS(M$1))-0.8))^(3/(1+1/(DATOS!E$6))))</f>
        <v>0</v>
      </c>
      <c r="BF45" s="67">
        <f t="shared" si="69"/>
        <v>110672.4512447163</v>
      </c>
      <c r="BG45" s="67">
        <f t="shared" si="93"/>
        <v>6170847.2646494601</v>
      </c>
      <c r="BH45" s="67">
        <f t="shared" si="70"/>
        <v>0.62013897539196083</v>
      </c>
      <c r="BI45" s="67">
        <f t="shared" si="71"/>
        <v>3.7278822061106678E-2</v>
      </c>
      <c r="BJ45" s="67">
        <f t="shared" si="72"/>
        <v>115020.95857256705</v>
      </c>
      <c r="BK45" s="67">
        <f>EDisponible!I58</f>
        <v>0.70391196626325525</v>
      </c>
      <c r="BL45" s="67">
        <f t="shared" si="94"/>
        <v>-9.6088033736744793E-2</v>
      </c>
      <c r="BM45" s="67">
        <f>IF(BL45&lt;0, 0, 0.00035*(10*BL45/((1/COS(M$1))-0.8))^(3/(1+1/(DATOS!E$6))))</f>
        <v>0</v>
      </c>
      <c r="BN45" s="67">
        <f t="shared" si="73"/>
        <v>115020.95857256705</v>
      </c>
    </row>
    <row r="46" spans="1:66">
      <c r="A46" s="41">
        <f>EDisponible!A59</f>
        <v>215</v>
      </c>
      <c r="B46" s="44"/>
      <c r="C46" s="67">
        <f t="shared" si="48"/>
        <v>20407506.96285687</v>
      </c>
      <c r="D46" s="67">
        <f t="shared" si="1"/>
        <v>0.18751839247023266</v>
      </c>
      <c r="E46" s="67">
        <f t="shared" si="49"/>
        <v>1.5334033930113089E-2</v>
      </c>
      <c r="F46" s="67">
        <f t="shared" si="50"/>
        <v>156464.70209873319</v>
      </c>
      <c r="G46" s="67">
        <f>EDisponible!B59</f>
        <v>0.62956534812433995</v>
      </c>
      <c r="H46" s="67">
        <f t="shared" si="74"/>
        <v>-0.17043465187566009</v>
      </c>
      <c r="I46" s="67">
        <f>IF(H46&lt;0, 0, 0.00035*(10*H46/((1/COS(M$1))-0.8))^(3/(1+1/(DATOS!E$6))))</f>
        <v>0</v>
      </c>
      <c r="J46" s="67">
        <f t="shared" si="75"/>
        <v>156464.70209873319</v>
      </c>
      <c r="K46" s="67">
        <f t="shared" si="76"/>
        <v>17629307.232195094</v>
      </c>
      <c r="L46" s="11">
        <f t="shared" si="51"/>
        <v>0.21706938619864943</v>
      </c>
      <c r="M46" s="67">
        <f t="shared" si="52"/>
        <v>1.6084933584603514E-2</v>
      </c>
      <c r="N46" s="67">
        <f t="shared" si="53"/>
        <v>141783.11798621426</v>
      </c>
      <c r="O46" s="67">
        <f>EDisponible!C59</f>
        <v>0.64049465891904123</v>
      </c>
      <c r="P46" s="67">
        <f t="shared" si="77"/>
        <v>-0.15950534108095882</v>
      </c>
      <c r="Q46" s="67">
        <f>IF(P46&lt;0, 0, 0.00035*(10*P46/((1/COS(M$1))-0.8))^(3/(1+1/(DATOS!E$6))))</f>
        <v>0</v>
      </c>
      <c r="R46" s="67">
        <f t="shared" si="78"/>
        <v>141783.11798621426</v>
      </c>
      <c r="S46" s="67">
        <f t="shared" si="79"/>
        <v>15150159.062363867</v>
      </c>
      <c r="T46" s="67">
        <f t="shared" si="54"/>
        <v>0.25259027870582046</v>
      </c>
      <c r="U46" s="67">
        <f t="shared" si="55"/>
        <v>1.7132699311173095E-2</v>
      </c>
      <c r="V46" s="67">
        <f t="shared" si="56"/>
        <v>129781.55986596213</v>
      </c>
      <c r="W46" s="67">
        <f>EDisponible!D59</f>
        <v>0.65201367655664333</v>
      </c>
      <c r="X46" s="67">
        <f t="shared" si="80"/>
        <v>-0.14798632344335672</v>
      </c>
      <c r="Y46" s="67">
        <f>IF(X46&lt;0, 0, 0.00035*(10*X46/((1/COS(M$1))-0.8))^(3/(1+1/(DATOS!E$6))))</f>
        <v>0</v>
      </c>
      <c r="Z46" s="67">
        <f t="shared" si="81"/>
        <v>129781.55986596213</v>
      </c>
      <c r="AA46" s="67">
        <f t="shared" si="82"/>
        <v>12946984.033678491</v>
      </c>
      <c r="AB46" s="67">
        <f t="shared" si="57"/>
        <v>0.29557330804189896</v>
      </c>
      <c r="AC46" s="67">
        <f t="shared" si="58"/>
        <v>1.8612503519322282E-2</v>
      </c>
      <c r="AD46" s="67">
        <f t="shared" si="83"/>
        <v>120487.89294572515</v>
      </c>
      <c r="AE46" s="67">
        <f>EDisponible!E59</f>
        <v>0.6641774137891564</v>
      </c>
      <c r="AF46" s="67">
        <f t="shared" si="84"/>
        <v>-0.13582258621084364</v>
      </c>
      <c r="AG46" s="67">
        <f>IF(AF46&lt;0, 0, 0.00035*(10*AF46/((1/COS(M$1))-0.8))^(3/(1+1/(DATOS!E$6))))</f>
        <v>0</v>
      </c>
      <c r="AH46" s="67">
        <f t="shared" si="85"/>
        <v>120487.89294572515</v>
      </c>
      <c r="AI46" s="67">
        <f t="shared" si="86"/>
        <v>10997730.965595324</v>
      </c>
      <c r="AJ46" s="67">
        <f t="shared" si="59"/>
        <v>0.34796113052515021</v>
      </c>
      <c r="AK46" s="67">
        <f t="shared" si="60"/>
        <v>2.0729885413311541E-2</v>
      </c>
      <c r="AL46" s="67">
        <f t="shared" si="61"/>
        <v>113990.85136160957</v>
      </c>
      <c r="AM46" s="67">
        <f>EDisponible!F59</f>
        <v>0.67704834719798312</v>
      </c>
      <c r="AN46" s="67">
        <f t="shared" si="87"/>
        <v>-0.12295165280201692</v>
      </c>
      <c r="AO46" s="67">
        <f>IF(AN46&lt;0, 0, 0.00035*(10*AN46/((1/COS(M$1))-0.8))^(3/(1+1/(DATOS!E$6))))</f>
        <v>0</v>
      </c>
      <c r="AP46" s="67">
        <f t="shared" si="88"/>
        <v>113990.85136160957</v>
      </c>
      <c r="AQ46" s="67">
        <f t="shared" si="89"/>
        <v>9281366.2492031511</v>
      </c>
      <c r="AR46" s="67">
        <f t="shared" si="62"/>
        <v>0.41230814486267553</v>
      </c>
      <c r="AS46" s="67">
        <f t="shared" si="63"/>
        <v>2.380239251446644E-2</v>
      </c>
      <c r="AT46" s="67">
        <f t="shared" si="64"/>
        <v>110459.36126702727</v>
      </c>
      <c r="AU46" s="67">
        <f>EDisponible!G59</f>
        <v>0.69069777177160163</v>
      </c>
      <c r="AV46" s="67">
        <f t="shared" si="90"/>
        <v>-0.10930222822839841</v>
      </c>
      <c r="AW46" s="67">
        <f>IF(AV46&lt;0, 0, 0.00035*(10*AV46/((1/COS(M$1))-0.8))^(3/(1+1/(DATOS!E$6))))</f>
        <v>0</v>
      </c>
      <c r="AX46" s="67">
        <f t="shared" si="65"/>
        <v>110459.36126702727</v>
      </c>
      <c r="AY46" s="67">
        <f t="shared" si="91"/>
        <v>7777863.9050298454</v>
      </c>
      <c r="AZ46" s="67">
        <f t="shared" si="66"/>
        <v>0.49200949601667221</v>
      </c>
      <c r="BA46" s="67">
        <f t="shared" si="67"/>
        <v>2.8329113656265566E-2</v>
      </c>
      <c r="BB46" s="67">
        <f t="shared" si="68"/>
        <v>110169.995284278</v>
      </c>
      <c r="BC46" s="67">
        <f>EDisponible!H59</f>
        <v>0.70520746860000549</v>
      </c>
      <c r="BD46" s="67">
        <f t="shared" si="92"/>
        <v>-9.4792531399994551E-2</v>
      </c>
      <c r="BE46" s="67">
        <f>IF(BD46&lt;0, 0, 0.00035*(10*BD46/((1/COS(M$1))-0.8))^(3/(1+1/(DATOS!E$6))))</f>
        <v>0</v>
      </c>
      <c r="BF46" s="67">
        <f t="shared" si="69"/>
        <v>110169.995284278</v>
      </c>
      <c r="BG46" s="67">
        <f t="shared" si="93"/>
        <v>6468195.3471297352</v>
      </c>
      <c r="BH46" s="67">
        <f t="shared" si="70"/>
        <v>0.59163069366761434</v>
      </c>
      <c r="BI46" s="67">
        <f t="shared" si="71"/>
        <v>3.5109179585700895E-2</v>
      </c>
      <c r="BJ46" s="67">
        <f t="shared" si="72"/>
        <v>113546.51601888641</v>
      </c>
      <c r="BK46" s="67">
        <f>EDisponible!I59</f>
        <v>0.72067177498380897</v>
      </c>
      <c r="BL46" s="67">
        <f t="shared" si="94"/>
        <v>-7.9328225016191078E-2</v>
      </c>
      <c r="BM46" s="67">
        <f>IF(BL46&lt;0, 0, 0.00035*(10*BL46/((1/COS(M$1))-0.8))^(3/(1+1/(DATOS!E$6))))</f>
        <v>0</v>
      </c>
      <c r="BN46" s="67">
        <f t="shared" si="73"/>
        <v>113546.51601888641</v>
      </c>
    </row>
    <row r="47" spans="1:66">
      <c r="A47" s="41">
        <f>EDisponible!A60</f>
        <v>220</v>
      </c>
      <c r="B47" s="44"/>
      <c r="C47" s="67">
        <f t="shared" si="48"/>
        <v>21367730.384040508</v>
      </c>
      <c r="D47" s="67">
        <f t="shared" si="1"/>
        <v>0.17909168784992779</v>
      </c>
      <c r="E47" s="67">
        <f t="shared" si="49"/>
        <v>1.5140008243976669E-2</v>
      </c>
      <c r="F47" s="67">
        <f t="shared" si="50"/>
        <v>161753.80708472204</v>
      </c>
      <c r="G47" s="67">
        <f>EDisponible!B60</f>
        <v>0.64420640273188268</v>
      </c>
      <c r="H47" s="67">
        <f t="shared" si="74"/>
        <v>-0.15579359726811737</v>
      </c>
      <c r="I47" s="67">
        <f>IF(H47&lt;0, 0, 0.00035*(10*H47/((1/COS(M$1))-0.8))^(3/(1+1/(DATOS!E$6))))</f>
        <v>0</v>
      </c>
      <c r="J47" s="67">
        <f t="shared" si="75"/>
        <v>161753.80708472204</v>
      </c>
      <c r="K47" s="67">
        <f t="shared" si="76"/>
        <v>18458809.519486047</v>
      </c>
      <c r="L47" s="11">
        <f t="shared" si="51"/>
        <v>0.20731471853373079</v>
      </c>
      <c r="M47" s="67">
        <f t="shared" si="52"/>
        <v>1.5824936402079218E-2</v>
      </c>
      <c r="N47" s="67">
        <f t="shared" si="53"/>
        <v>146054.74335198058</v>
      </c>
      <c r="O47" s="67">
        <f>EDisponible!C60</f>
        <v>0.65538988354506544</v>
      </c>
      <c r="P47" s="67">
        <f t="shared" si="77"/>
        <v>-0.1446101164549346</v>
      </c>
      <c r="Q47" s="67">
        <f>IF(P47&lt;0, 0, 0.00035*(10*P47/((1/COS(M$1))-0.8))^(3/(1+1/(DATOS!E$6))))</f>
        <v>0</v>
      </c>
      <c r="R47" s="67">
        <f t="shared" si="78"/>
        <v>146054.74335198058</v>
      </c>
      <c r="S47" s="67">
        <f t="shared" si="79"/>
        <v>15863011.327602187</v>
      </c>
      <c r="T47" s="67">
        <f t="shared" si="54"/>
        <v>0.24123937258629236</v>
      </c>
      <c r="U47" s="67">
        <f t="shared" si="55"/>
        <v>1.6780648986218422E-2</v>
      </c>
      <c r="V47" s="67">
        <f t="shared" si="56"/>
        <v>133095.8124764495</v>
      </c>
      <c r="W47" s="67">
        <f>EDisponible!D60</f>
        <v>0.66717678531377467</v>
      </c>
      <c r="X47" s="67">
        <f t="shared" si="80"/>
        <v>-0.13282321468622538</v>
      </c>
      <c r="Y47" s="67">
        <f>IF(X47&lt;0, 0, 0.00035*(10*X47/((1/COS(M$1))-0.8))^(3/(1+1/(DATOS!E$6))))</f>
        <v>0</v>
      </c>
      <c r="Z47" s="67">
        <f t="shared" si="81"/>
        <v>133095.8124764495</v>
      </c>
      <c r="AA47" s="67">
        <f t="shared" si="82"/>
        <v>13556171.492266933</v>
      </c>
      <c r="AB47" s="67">
        <f t="shared" si="57"/>
        <v>0.28229082983960291</v>
      </c>
      <c r="AC47" s="67">
        <f t="shared" si="58"/>
        <v>1.8130442616537557E-2</v>
      </c>
      <c r="AD47" s="67">
        <f t="shared" si="83"/>
        <v>122889.69467024396</v>
      </c>
      <c r="AE47" s="67">
        <f>EDisponible!E60</f>
        <v>0.67962340015634604</v>
      </c>
      <c r="AF47" s="67">
        <f t="shared" si="84"/>
        <v>-0.12037659984365401</v>
      </c>
      <c r="AG47" s="67">
        <f>IF(AF47&lt;0, 0, 0.00035*(10*AF47/((1/COS(M$1))-0.8))^(3/(1+1/(DATOS!E$6))))</f>
        <v>0</v>
      </c>
      <c r="AH47" s="67">
        <f t="shared" si="85"/>
        <v>122889.69467024396</v>
      </c>
      <c r="AI47" s="67">
        <f t="shared" si="86"/>
        <v>11515201.270628743</v>
      </c>
      <c r="AJ47" s="67">
        <f t="shared" si="59"/>
        <v>0.33232444749018736</v>
      </c>
      <c r="AK47" s="67">
        <f t="shared" si="60"/>
        <v>2.0061798520055601E-2</v>
      </c>
      <c r="AL47" s="67">
        <f t="shared" si="61"/>
        <v>115507.82390462105</v>
      </c>
      <c r="AM47" s="67">
        <f>EDisponible!F60</f>
        <v>0.69279365759793621</v>
      </c>
      <c r="AN47" s="67">
        <f t="shared" si="87"/>
        <v>-0.10720634240206384</v>
      </c>
      <c r="AO47" s="67">
        <f>IF(AN47&lt;0, 0, 0.00035*(10*AN47/((1/COS(M$1))-0.8))^(3/(1+1/(DATOS!E$6))))</f>
        <v>0</v>
      </c>
      <c r="AP47" s="67">
        <f t="shared" si="88"/>
        <v>115507.82390462105</v>
      </c>
      <c r="AQ47" s="67">
        <f t="shared" si="89"/>
        <v>9718077.3707178477</v>
      </c>
      <c r="AR47" s="67">
        <f t="shared" si="62"/>
        <v>0.39377983463382599</v>
      </c>
      <c r="AS47" s="67">
        <f t="shared" si="63"/>
        <v>2.2864365570081931E-2</v>
      </c>
      <c r="AT47" s="67">
        <f t="shared" si="64"/>
        <v>111098.83682121674</v>
      </c>
      <c r="AU47" s="67">
        <f>EDisponible!G60</f>
        <v>0.70676051065001089</v>
      </c>
      <c r="AV47" s="67">
        <f t="shared" si="90"/>
        <v>-9.3239489349989157E-2</v>
      </c>
      <c r="AW47" s="67">
        <f>IF(AV47&lt;0, 0, 0.00035*(10*AV47/((1/COS(M$1))-0.8))^(3/(1+1/(DATOS!E$6))))</f>
        <v>0</v>
      </c>
      <c r="AX47" s="67">
        <f t="shared" si="65"/>
        <v>111098.83682121674</v>
      </c>
      <c r="AY47" s="67">
        <f t="shared" si="91"/>
        <v>8143831.5414482327</v>
      </c>
      <c r="AZ47" s="67">
        <f t="shared" si="66"/>
        <v>0.46989956515228659</v>
      </c>
      <c r="BA47" s="67">
        <f t="shared" si="67"/>
        <v>2.699338434823062E-2</v>
      </c>
      <c r="BB47" s="67">
        <f t="shared" si="68"/>
        <v>109914.78743277778</v>
      </c>
      <c r="BC47" s="67">
        <f>EDisponible!H60</f>
        <v>0.7216076422883777</v>
      </c>
      <c r="BD47" s="67">
        <f t="shared" si="92"/>
        <v>-7.839235771162234E-2</v>
      </c>
      <c r="BE47" s="67">
        <f>IF(BD47&lt;0, 0, 0.00035*(10*BD47/((1/COS(M$1))-0.8))^(3/(1+1/(DATOS!E$6))))</f>
        <v>0</v>
      </c>
      <c r="BF47" s="67">
        <f t="shared" si="69"/>
        <v>109914.78743277778</v>
      </c>
      <c r="BG47" s="67">
        <f t="shared" si="93"/>
        <v>6772539.8550801342</v>
      </c>
      <c r="BH47" s="67">
        <f t="shared" si="70"/>
        <v>0.56504398377655929</v>
      </c>
      <c r="BI47" s="67">
        <f t="shared" si="71"/>
        <v>3.3177776684931548E-2</v>
      </c>
      <c r="BJ47" s="67">
        <f t="shared" si="72"/>
        <v>112348.90745082368</v>
      </c>
      <c r="BK47" s="67">
        <f>EDisponible!I60</f>
        <v>0.73743158370436268</v>
      </c>
      <c r="BL47" s="67">
        <f t="shared" si="94"/>
        <v>-6.2568416295637364E-2</v>
      </c>
      <c r="BM47" s="67">
        <f>IF(BL47&lt;0, 0, 0.00035*(10*BL47/((1/COS(M$1))-0.8))^(3/(1+1/(DATOS!E$6))))</f>
        <v>0</v>
      </c>
      <c r="BN47" s="67">
        <f t="shared" si="73"/>
        <v>112348.90745082368</v>
      </c>
    </row>
    <row r="48" spans="1:66">
      <c r="A48" s="41">
        <f>EDisponible!A61</f>
        <v>225</v>
      </c>
      <c r="B48" s="44"/>
      <c r="C48" s="67">
        <f t="shared" si="48"/>
        <v>22350027.906860553</v>
      </c>
      <c r="D48" s="67">
        <f t="shared" si="1"/>
        <v>0.17122049761849886</v>
      </c>
      <c r="E48" s="67">
        <f t="shared" si="49"/>
        <v>1.4966830248772054E-2</v>
      </c>
      <c r="F48" s="67">
        <f t="shared" si="50"/>
        <v>167254.53686865003</v>
      </c>
      <c r="G48" s="67">
        <f>EDisponible!B61</f>
        <v>0.65884745733942551</v>
      </c>
      <c r="H48" s="67">
        <f t="shared" si="74"/>
        <v>-0.14115254266057453</v>
      </c>
      <c r="I48" s="67">
        <f>IF(H48&lt;0, 0, 0.00035*(10*H48/((1/COS(M$1))-0.8))^(3/(1+1/(DATOS!E$6))))</f>
        <v>0</v>
      </c>
      <c r="J48" s="67">
        <f t="shared" si="75"/>
        <v>167254.53686865003</v>
      </c>
      <c r="K48" s="67">
        <f t="shared" si="76"/>
        <v>19307380.824875645</v>
      </c>
      <c r="L48" s="11">
        <f t="shared" si="51"/>
        <v>0.19820310868212482</v>
      </c>
      <c r="M48" s="67">
        <f t="shared" si="52"/>
        <v>1.5592875422293534E-2</v>
      </c>
      <c r="N48" s="67">
        <f t="shared" si="53"/>
        <v>150528.79196653244</v>
      </c>
      <c r="O48" s="67">
        <f>EDisponible!C61</f>
        <v>0.67028510817108966</v>
      </c>
      <c r="P48" s="67">
        <f t="shared" si="77"/>
        <v>-0.12971489182891038</v>
      </c>
      <c r="Q48" s="67">
        <f>IF(P48&lt;0, 0, 0.00035*(10*P48/((1/COS(M$1))-0.8))^(3/(1+1/(DATOS!E$6))))</f>
        <v>0</v>
      </c>
      <c r="R48" s="67">
        <f t="shared" si="78"/>
        <v>150528.79196653244</v>
      </c>
      <c r="S48" s="67">
        <f t="shared" si="79"/>
        <v>16592251.001236791</v>
      </c>
      <c r="T48" s="67">
        <f t="shared" si="54"/>
        <v>0.23063675324793187</v>
      </c>
      <c r="U48" s="67">
        <f t="shared" si="55"/>
        <v>1.6466425799068249E-2</v>
      </c>
      <c r="V48" s="67">
        <f t="shared" si="56"/>
        <v>136607.53497569074</v>
      </c>
      <c r="W48" s="67">
        <f>EDisponible!D61</f>
        <v>0.68233989407090589</v>
      </c>
      <c r="X48" s="67">
        <f t="shared" si="80"/>
        <v>-0.11766010592909415</v>
      </c>
      <c r="Y48" s="67">
        <f>IF(X48&lt;0, 0, 0.00035*(10*X48/((1/COS(M$1))-0.8))^(3/(1+1/(DATOS!E$6))))</f>
        <v>0</v>
      </c>
      <c r="Z48" s="67">
        <f t="shared" si="81"/>
        <v>136607.53497569074</v>
      </c>
      <c r="AA48" s="67">
        <f t="shared" si="82"/>
        <v>14179363.26024821</v>
      </c>
      <c r="AB48" s="67">
        <f t="shared" si="57"/>
        <v>0.26988397361455374</v>
      </c>
      <c r="AC48" s="67">
        <f t="shared" si="58"/>
        <v>1.7700178240860572E-2</v>
      </c>
      <c r="AD48" s="67">
        <f t="shared" si="83"/>
        <v>125488.62852415159</v>
      </c>
      <c r="AE48" s="67">
        <f>EDisponible!E61</f>
        <v>0.69506938652353578</v>
      </c>
      <c r="AF48" s="67">
        <f t="shared" si="84"/>
        <v>-0.10493061347646426</v>
      </c>
      <c r="AG48" s="67">
        <f>IF(AF48&lt;0, 0, 0.00035*(10*AF48/((1/COS(M$1))-0.8))^(3/(1+1/(DATOS!E$6))))</f>
        <v>0</v>
      </c>
      <c r="AH48" s="67">
        <f t="shared" si="85"/>
        <v>125488.62852415159</v>
      </c>
      <c r="AI48" s="67">
        <f t="shared" si="86"/>
        <v>12044567.444743389</v>
      </c>
      <c r="AJ48" s="67">
        <f t="shared" si="59"/>
        <v>0.31771858288444582</v>
      </c>
      <c r="AK48" s="67">
        <f t="shared" si="60"/>
        <v>1.946549629275568E-2</v>
      </c>
      <c r="AL48" s="67">
        <f t="shared" si="61"/>
        <v>117226.74147174909</v>
      </c>
      <c r="AM48" s="67">
        <f>EDisponible!F61</f>
        <v>0.70853896799788929</v>
      </c>
      <c r="AN48" s="67">
        <f t="shared" si="87"/>
        <v>-9.1461032002110754E-2</v>
      </c>
      <c r="AO48" s="67">
        <f>IF(AN48&lt;0, 0, 0.00035*(10*AN48/((1/COS(M$1))-0.8))^(3/(1+1/(DATOS!E$6))))</f>
        <v>0</v>
      </c>
      <c r="AP48" s="67">
        <f t="shared" si="88"/>
        <v>117226.74147174909</v>
      </c>
      <c r="AQ48" s="67">
        <f t="shared" si="89"/>
        <v>10164827.828359321</v>
      </c>
      <c r="AR48" s="67">
        <f t="shared" si="62"/>
        <v>0.37647296782769724</v>
      </c>
      <c r="AS48" s="67">
        <f t="shared" si="63"/>
        <v>2.2027127836711895E-2</v>
      </c>
      <c r="AT48" s="67">
        <f t="shared" si="64"/>
        <v>111950.98100671866</v>
      </c>
      <c r="AU48" s="67">
        <f>EDisponible!G61</f>
        <v>0.72282324952842025</v>
      </c>
      <c r="AV48" s="67">
        <f t="shared" si="90"/>
        <v>-7.7176750471579791E-2</v>
      </c>
      <c r="AW48" s="67">
        <f>IF(AV48&lt;0, 0, 0.00035*(10*AV48/((1/COS(M$1))-0.8))^(3/(1+1/(DATOS!E$6))))</f>
        <v>0</v>
      </c>
      <c r="AX48" s="67">
        <f t="shared" si="65"/>
        <v>111950.98100671866</v>
      </c>
      <c r="AY48" s="67">
        <f t="shared" si="91"/>
        <v>8518212.2269796841</v>
      </c>
      <c r="AZ48" s="67">
        <f t="shared" si="66"/>
        <v>0.44924718920238371</v>
      </c>
      <c r="BA48" s="67">
        <f t="shared" si="67"/>
        <v>2.5801176613740769E-2</v>
      </c>
      <c r="BB48" s="67">
        <f t="shared" si="68"/>
        <v>109889.94905081445</v>
      </c>
      <c r="BC48" s="67">
        <f>EDisponible!H61</f>
        <v>0.73800781597675003</v>
      </c>
      <c r="BD48" s="67">
        <f t="shared" si="92"/>
        <v>-6.1992184023250019E-2</v>
      </c>
      <c r="BE48" s="67">
        <f>IF(BD48&lt;0, 0, 0.00035*(10*BD48/((1/COS(M$1))-0.8))^(3/(1+1/(DATOS!E$6))))</f>
        <v>0</v>
      </c>
      <c r="BF48" s="67">
        <f t="shared" si="69"/>
        <v>109889.94905081445</v>
      </c>
      <c r="BG48" s="67">
        <f t="shared" si="93"/>
        <v>7083880.7885006573</v>
      </c>
      <c r="BH48" s="67">
        <f t="shared" si="70"/>
        <v>0.54020995189699683</v>
      </c>
      <c r="BI48" s="67">
        <f t="shared" si="71"/>
        <v>3.1453899352254858E-2</v>
      </c>
      <c r="BJ48" s="67">
        <f t="shared" si="72"/>
        <v>111407.83667243573</v>
      </c>
      <c r="BK48" s="67">
        <f>EDisponible!I61</f>
        <v>0.75419139242491628</v>
      </c>
      <c r="BL48" s="67">
        <f t="shared" si="94"/>
        <v>-4.580860757508376E-2</v>
      </c>
      <c r="BM48" s="67">
        <f>IF(BL48&lt;0, 0, 0.00035*(10*BL48/((1/COS(M$1))-0.8))^(3/(1+1/(DATOS!E$6))))</f>
        <v>0</v>
      </c>
      <c r="BN48" s="67">
        <f t="shared" si="73"/>
        <v>111407.83667243573</v>
      </c>
    </row>
    <row r="49" spans="1:66">
      <c r="A49" s="41">
        <f>EDisponible!A62</f>
        <v>230</v>
      </c>
      <c r="B49" s="44"/>
      <c r="C49" s="67">
        <f t="shared" si="48"/>
        <v>23354399.531317003</v>
      </c>
      <c r="D49" s="67">
        <f t="shared" si="1"/>
        <v>0.16385704521619102</v>
      </c>
      <c r="E49" s="67">
        <f t="shared" si="49"/>
        <v>1.4811868731255121E-2</v>
      </c>
      <c r="F49" s="67">
        <f t="shared" si="50"/>
        <v>172961.15007757678</v>
      </c>
      <c r="G49" s="67">
        <f>EDisponible!B62</f>
        <v>0.67348851194696824</v>
      </c>
      <c r="H49" s="67">
        <f t="shared" si="74"/>
        <v>-0.12651148805303181</v>
      </c>
      <c r="I49" s="67">
        <f>IF(H49&lt;0, 0, 0.00035*(10*H49/((1/COS(M$1))-0.8))^(3/(1+1/(DATOS!E$6))))</f>
        <v>0</v>
      </c>
      <c r="J49" s="67">
        <f t="shared" si="75"/>
        <v>172961.15007757678</v>
      </c>
      <c r="K49" s="67">
        <f t="shared" si="76"/>
        <v>20175021.148363885</v>
      </c>
      <c r="L49" s="11">
        <f t="shared" si="51"/>
        <v>0.18967925098360244</v>
      </c>
      <c r="M49" s="67">
        <f t="shared" si="52"/>
        <v>1.538522478202849E-2</v>
      </c>
      <c r="N49" s="67">
        <f t="shared" si="53"/>
        <v>155198.61767487845</v>
      </c>
      <c r="O49" s="67">
        <f>EDisponible!C62</f>
        <v>0.68518033279711377</v>
      </c>
      <c r="P49" s="67">
        <f t="shared" si="77"/>
        <v>-0.11481966720288628</v>
      </c>
      <c r="Q49" s="67">
        <f>IF(P49&lt;0, 0, 0.00035*(10*P49/((1/COS(M$1))-0.8))^(3/(1+1/(DATOS!E$6))))</f>
        <v>0</v>
      </c>
      <c r="R49" s="67">
        <f t="shared" si="78"/>
        <v>155198.61767487845</v>
      </c>
      <c r="S49" s="67">
        <f t="shared" si="79"/>
        <v>17337878.083267678</v>
      </c>
      <c r="T49" s="67">
        <f t="shared" si="54"/>
        <v>0.22071806489936771</v>
      </c>
      <c r="U49" s="67">
        <f t="shared" si="55"/>
        <v>1.6185255539173132E-2</v>
      </c>
      <c r="V49" s="67">
        <f t="shared" si="56"/>
        <v>140308.99364235831</v>
      </c>
      <c r="W49" s="67">
        <f>EDisponible!D62</f>
        <v>0.69750300282803712</v>
      </c>
      <c r="X49" s="67">
        <f t="shared" si="80"/>
        <v>-0.10249699717196292</v>
      </c>
      <c r="Y49" s="67">
        <f>IF(X49&lt;0, 0, 0.00035*(10*X49/((1/COS(M$1))-0.8))^(3/(1+1/(DATOS!E$6))))</f>
        <v>0</v>
      </c>
      <c r="Z49" s="67">
        <f t="shared" si="81"/>
        <v>140308.99364235831</v>
      </c>
      <c r="AA49" s="67">
        <f t="shared" si="82"/>
        <v>14816559.33762233</v>
      </c>
      <c r="AB49" s="67">
        <f t="shared" si="57"/>
        <v>0.2582774322161962</v>
      </c>
      <c r="AC49" s="67">
        <f t="shared" si="58"/>
        <v>1.7315173087581119E-2</v>
      </c>
      <c r="AD49" s="67">
        <f t="shared" si="83"/>
        <v>128275.64474667345</v>
      </c>
      <c r="AE49" s="67">
        <f>EDisponible!E62</f>
        <v>0.71051537289072542</v>
      </c>
      <c r="AF49" s="67">
        <f t="shared" si="84"/>
        <v>-8.9484627109274628E-2</v>
      </c>
      <c r="AG49" s="67">
        <f>IF(AF49&lt;0, 0, 0.00035*(10*AF49/((1/COS(M$1))-0.8))^(3/(1+1/(DATOS!E$6))))</f>
        <v>0</v>
      </c>
      <c r="AH49" s="67">
        <f t="shared" si="85"/>
        <v>128275.64474667345</v>
      </c>
      <c r="AI49" s="67">
        <f t="shared" si="86"/>
        <v>12585829.487939266</v>
      </c>
      <c r="AJ49" s="67">
        <f t="shared" si="59"/>
        <v>0.3040548820137064</v>
      </c>
      <c r="AK49" s="67">
        <f t="shared" si="60"/>
        <v>1.8931918698604961E-2</v>
      </c>
      <c r="AL49" s="67">
        <f t="shared" si="61"/>
        <v>119136.95031008555</v>
      </c>
      <c r="AM49" s="67">
        <f>EDisponible!F62</f>
        <v>0.72428427839784237</v>
      </c>
      <c r="AN49" s="67">
        <f t="shared" si="87"/>
        <v>-7.5715721602157671E-2</v>
      </c>
      <c r="AO49" s="67">
        <f>IF(AN49&lt;0, 0, 0.00035*(10*AN49/((1/COS(M$1))-0.8))^(3/(1+1/(DATOS!E$6))))</f>
        <v>0</v>
      </c>
      <c r="AP49" s="67">
        <f t="shared" si="88"/>
        <v>119136.95031008555</v>
      </c>
      <c r="AQ49" s="67">
        <f t="shared" si="89"/>
        <v>10621617.622127566</v>
      </c>
      <c r="AR49" s="67">
        <f t="shared" si="62"/>
        <v>0.36028249520372729</v>
      </c>
      <c r="AS49" s="67">
        <f t="shared" si="63"/>
        <v>2.1277958581506204E-2</v>
      </c>
      <c r="AT49" s="67">
        <f t="shared" si="64"/>
        <v>113003.16991611339</v>
      </c>
      <c r="AU49" s="67">
        <f>EDisponible!G62</f>
        <v>0.73888598840682962</v>
      </c>
      <c r="AV49" s="67">
        <f t="shared" si="90"/>
        <v>-6.1114011593170425E-2</v>
      </c>
      <c r="AW49" s="67">
        <f>IF(AV49&lt;0, 0, 0.00035*(10*AV49/((1/COS(M$1))-0.8))^(3/(1+1/(DATOS!E$6))))</f>
        <v>0</v>
      </c>
      <c r="AX49" s="67">
        <f t="shared" si="65"/>
        <v>113003.16991611339</v>
      </c>
      <c r="AY49" s="67">
        <f t="shared" si="91"/>
        <v>8901005.9616242032</v>
      </c>
      <c r="AZ49" s="67">
        <f t="shared" si="66"/>
        <v>0.42992701235105246</v>
      </c>
      <c r="BA49" s="67">
        <f t="shared" si="67"/>
        <v>2.4734376414825843E-2</v>
      </c>
      <c r="BB49" s="67">
        <f t="shared" si="68"/>
        <v>110080.41596271096</v>
      </c>
      <c r="BC49" s="67">
        <f>EDisponible!H62</f>
        <v>0.75440798966512224</v>
      </c>
      <c r="BD49" s="67">
        <f t="shared" si="92"/>
        <v>-4.5592010334877808E-2</v>
      </c>
      <c r="BE49" s="67">
        <f>IF(BD49&lt;0, 0, 0.00035*(10*BD49/((1/COS(M$1))-0.8))^(3/(1+1/(DATOS!E$6))))</f>
        <v>0</v>
      </c>
      <c r="BF49" s="67">
        <f t="shared" si="69"/>
        <v>110080.41596271096</v>
      </c>
      <c r="BG49" s="67">
        <f t="shared" si="93"/>
        <v>7402218.1473913034</v>
      </c>
      <c r="BH49" s="67">
        <f t="shared" si="70"/>
        <v>0.51697786039292004</v>
      </c>
      <c r="BI49" s="67">
        <f t="shared" si="71"/>
        <v>2.9911355525199988E-2</v>
      </c>
      <c r="BJ49" s="67">
        <f t="shared" si="72"/>
        <v>110705.18934085424</v>
      </c>
      <c r="BK49" s="67">
        <f>EDisponible!I62</f>
        <v>0.77095120114547</v>
      </c>
      <c r="BL49" s="67">
        <f t="shared" si="94"/>
        <v>-2.9048798854530045E-2</v>
      </c>
      <c r="BM49" s="67">
        <f>IF(BL49&lt;0, 0, 0.00035*(10*BL49/((1/COS(M$1))-0.8))^(3/(1+1/(DATOS!E$6))))</f>
        <v>0</v>
      </c>
      <c r="BN49" s="67">
        <f t="shared" si="73"/>
        <v>110705.18934085424</v>
      </c>
    </row>
    <row r="50" spans="1:66">
      <c r="A50" s="41">
        <f>EDisponible!A63</f>
        <v>235</v>
      </c>
      <c r="B50" s="44"/>
      <c r="C50" s="67">
        <f t="shared" si="48"/>
        <v>24380845.257409856</v>
      </c>
      <c r="D50" s="67">
        <f t="shared" si="1"/>
        <v>0.15695858201786339</v>
      </c>
      <c r="E50" s="67">
        <f t="shared" si="49"/>
        <v>1.4672871892971961E-2</v>
      </c>
      <c r="F50" s="67">
        <f t="shared" si="50"/>
        <v>178868.5095521739</v>
      </c>
      <c r="G50" s="67">
        <f>EDisponible!B63</f>
        <v>0.68812956655451107</v>
      </c>
      <c r="H50" s="67">
        <f t="shared" si="74"/>
        <v>-0.11187043344548897</v>
      </c>
      <c r="I50" s="67">
        <f>IF(H50&lt;0, 0, 0.00035*(10*H50/((1/COS(M$1))-0.8))^(3/(1+1/(DATOS!E$6))))</f>
        <v>0</v>
      </c>
      <c r="J50" s="67">
        <f t="shared" si="75"/>
        <v>178868.5095521739</v>
      </c>
      <c r="K50" s="67">
        <f t="shared" si="76"/>
        <v>21061730.489950765</v>
      </c>
      <c r="L50" s="11">
        <f t="shared" si="51"/>
        <v>0.18169366006396687</v>
      </c>
      <c r="M50" s="67">
        <f t="shared" si="52"/>
        <v>1.519896703928819E-2</v>
      </c>
      <c r="N50" s="67">
        <f t="shared" si="53"/>
        <v>160058.27375356638</v>
      </c>
      <c r="O50" s="67">
        <f>EDisponible!C63</f>
        <v>0.70007555742313798</v>
      </c>
      <c r="P50" s="67">
        <f t="shared" si="77"/>
        <v>-9.992444257686206E-2</v>
      </c>
      <c r="Q50" s="67">
        <f>IF(P50&lt;0, 0, 0.00035*(10*P50/((1/COS(M$1))-0.8))^(3/(1+1/(DATOS!E$6))))</f>
        <v>0</v>
      </c>
      <c r="R50" s="67">
        <f t="shared" si="78"/>
        <v>160058.27375356638</v>
      </c>
      <c r="S50" s="67">
        <f t="shared" si="79"/>
        <v>18099892.573694851</v>
      </c>
      <c r="T50" s="67">
        <f t="shared" si="54"/>
        <v>0.21142572445770122</v>
      </c>
      <c r="U50" s="67">
        <f t="shared" si="55"/>
        <v>1.5933052425968552E-2</v>
      </c>
      <c r="V50" s="67">
        <f t="shared" si="56"/>
        <v>144193.26864053946</v>
      </c>
      <c r="W50" s="67">
        <f>EDisponible!D63</f>
        <v>0.71266611158516835</v>
      </c>
      <c r="X50" s="67">
        <f t="shared" si="80"/>
        <v>-8.7333888414831695E-2</v>
      </c>
      <c r="Y50" s="67">
        <f>IF(X50&lt;0, 0, 0.00035*(10*X50/((1/COS(M$1))-0.8))^(3/(1+1/(DATOS!E$6))))</f>
        <v>0</v>
      </c>
      <c r="Z50" s="67">
        <f t="shared" si="81"/>
        <v>144193.26864053946</v>
      </c>
      <c r="AA50" s="67">
        <f t="shared" si="82"/>
        <v>15467759.724389283</v>
      </c>
      <c r="AB50" s="67">
        <f t="shared" si="57"/>
        <v>0.24740382370732061</v>
      </c>
      <c r="AC50" s="67">
        <f t="shared" si="58"/>
        <v>1.6969832516024567E-2</v>
      </c>
      <c r="AD50" s="67">
        <f t="shared" si="83"/>
        <v>131242.64596049822</v>
      </c>
      <c r="AE50" s="67">
        <f>EDisponible!E63</f>
        <v>0.72596135925791505</v>
      </c>
      <c r="AF50" s="67">
        <f t="shared" si="84"/>
        <v>-7.4038640742084993E-2</v>
      </c>
      <c r="AG50" s="67">
        <f>IF(AF50&lt;0, 0, 0.00035*(10*AF50/((1/COS(M$1))-0.8))^(3/(1+1/(DATOS!E$6))))</f>
        <v>0</v>
      </c>
      <c r="AH50" s="67">
        <f t="shared" si="85"/>
        <v>131242.64596049822</v>
      </c>
      <c r="AI50" s="67">
        <f t="shared" si="86"/>
        <v>13138987.400216369</v>
      </c>
      <c r="AJ50" s="67">
        <f t="shared" si="59"/>
        <v>0.29125402007288492</v>
      </c>
      <c r="AK50" s="67">
        <f t="shared" si="60"/>
        <v>1.8453312140318118E-2</v>
      </c>
      <c r="AL50" s="67">
        <f t="shared" si="61"/>
        <v>121228.91785194975</v>
      </c>
      <c r="AM50" s="67">
        <f>EDisponible!F63</f>
        <v>0.74002958879779546</v>
      </c>
      <c r="AN50" s="67">
        <f t="shared" si="87"/>
        <v>-5.9970411202204588E-2</v>
      </c>
      <c r="AO50" s="67">
        <f>IF(AN50&lt;0, 0, 0.00035*(10*AN50/((1/COS(M$1))-0.8))^(3/(1+1/(DATOS!E$6))))</f>
        <v>0</v>
      </c>
      <c r="AP50" s="67">
        <f t="shared" si="88"/>
        <v>121228.91785194975</v>
      </c>
      <c r="AQ50" s="67">
        <f t="shared" si="89"/>
        <v>11088446.752022587</v>
      </c>
      <c r="AR50" s="67">
        <f t="shared" si="62"/>
        <v>0.34511442274834181</v>
      </c>
      <c r="AS50" s="67">
        <f t="shared" si="63"/>
        <v>2.0605971371512839E-2</v>
      </c>
      <c r="AT50" s="67">
        <f t="shared" si="64"/>
        <v>114244.10816336097</v>
      </c>
      <c r="AU50" s="67">
        <f>EDisponible!G63</f>
        <v>0.75494872728523899</v>
      </c>
      <c r="AV50" s="67">
        <f t="shared" si="90"/>
        <v>-4.5051272714761059E-2</v>
      </c>
      <c r="AW50" s="67">
        <f>IF(AV50&lt;0, 0, 0.00035*(10*AV50/((1/COS(M$1))-0.8))^(3/(1+1/(DATOS!E$6))))</f>
        <v>0</v>
      </c>
      <c r="AX50" s="67">
        <f t="shared" si="65"/>
        <v>114244.10816336097</v>
      </c>
      <c r="AY50" s="67">
        <f t="shared" si="91"/>
        <v>9292212.7453817893</v>
      </c>
      <c r="AZ50" s="67">
        <f t="shared" si="66"/>
        <v>0.41182687104338023</v>
      </c>
      <c r="BA50" s="67">
        <f t="shared" si="67"/>
        <v>2.3777481715386545E-2</v>
      </c>
      <c r="BB50" s="67">
        <f t="shared" si="68"/>
        <v>110472.70932439865</v>
      </c>
      <c r="BC50" s="67">
        <f>EDisponible!H63</f>
        <v>0.77080816335349445</v>
      </c>
      <c r="BD50" s="67">
        <f t="shared" si="92"/>
        <v>-2.9191836646505598E-2</v>
      </c>
      <c r="BE50" s="67">
        <f>IF(BD50&lt;0, 0, 0.00035*(10*BD50/((1/COS(M$1))-0.8))^(3/(1+1/(DATOS!E$6))))</f>
        <v>0</v>
      </c>
      <c r="BF50" s="67">
        <f t="shared" si="69"/>
        <v>110472.70932439865</v>
      </c>
      <c r="BG50" s="67">
        <f t="shared" si="93"/>
        <v>7727551.9317520745</v>
      </c>
      <c r="BH50" s="67">
        <f t="shared" si="70"/>
        <v>0.49521283503459429</v>
      </c>
      <c r="BI50" s="67">
        <f t="shared" si="71"/>
        <v>2.8527729975389479E-2</v>
      </c>
      <c r="BJ50" s="67">
        <f t="shared" si="72"/>
        <v>110224.75743991126</v>
      </c>
      <c r="BK50" s="67">
        <f>EDisponible!I63</f>
        <v>0.78771100986602371</v>
      </c>
      <c r="BL50" s="67">
        <f t="shared" si="94"/>
        <v>-1.228899013397633E-2</v>
      </c>
      <c r="BM50" s="67">
        <f>IF(BL50&lt;0, 0, 0.00035*(10*BL50/((1/COS(M$1))-0.8))^(3/(1+1/(DATOS!E$6))))</f>
        <v>0</v>
      </c>
      <c r="BN50" s="67">
        <f t="shared" si="73"/>
        <v>110224.75743991126</v>
      </c>
    </row>
    <row r="51" spans="1:66">
      <c r="A51" s="41">
        <f>EDisponible!A64</f>
        <v>240</v>
      </c>
      <c r="B51" s="44"/>
      <c r="C51" s="67">
        <f t="shared" si="48"/>
        <v>25429365.085139118</v>
      </c>
      <c r="D51" s="67">
        <f t="shared" si="1"/>
        <v>0.15048676548500875</v>
      </c>
      <c r="E51" s="67">
        <f t="shared" si="49"/>
        <v>1.4547906091963009E-2</v>
      </c>
      <c r="F51" s="67">
        <f t="shared" si="50"/>
        <v>184972.00761842341</v>
      </c>
      <c r="G51" s="67">
        <f>EDisponible!B64</f>
        <v>0.7027706211620538</v>
      </c>
      <c r="H51" s="67">
        <f t="shared" si="74"/>
        <v>-9.7229378837946245E-2</v>
      </c>
      <c r="I51" s="67">
        <f>IF(H51&lt;0, 0, 0.00035*(10*H51/((1/COS(M$1))-0.8))^(3/(1+1/(DATOS!E$6))))</f>
        <v>0</v>
      </c>
      <c r="J51" s="67">
        <f t="shared" si="75"/>
        <v>184972.00761842341</v>
      </c>
      <c r="K51" s="67">
        <f t="shared" si="76"/>
        <v>21967508.84963629</v>
      </c>
      <c r="L51" s="67">
        <f t="shared" si="51"/>
        <v>0.17420195099014876</v>
      </c>
      <c r="M51" s="67">
        <f t="shared" si="52"/>
        <v>1.5031511086310009E-2</v>
      </c>
      <c r="N51" s="67">
        <f t="shared" si="53"/>
        <v>165102.42640596055</v>
      </c>
      <c r="O51" s="67">
        <f>EDisponible!C64</f>
        <v>0.7149707820491622</v>
      </c>
      <c r="P51" s="67">
        <f t="shared" si="77"/>
        <v>-8.5029217950837843E-2</v>
      </c>
      <c r="Q51" s="67">
        <f>IF(P51&lt;0, 0, 0.00035*(10*P51/((1/COS(M$1))-0.8))^(3/(1+1/(DATOS!E$6))))</f>
        <v>0</v>
      </c>
      <c r="R51" s="67">
        <f t="shared" si="78"/>
        <v>165102.42640596055</v>
      </c>
      <c r="S51" s="67">
        <f t="shared" si="79"/>
        <v>18878294.472518306</v>
      </c>
      <c r="T51" s="67">
        <f t="shared" si="54"/>
        <v>0.20270808390931511</v>
      </c>
      <c r="U51" s="67">
        <f t="shared" si="55"/>
        <v>1.5706307958627819E-2</v>
      </c>
      <c r="V51" s="67">
        <f t="shared" si="56"/>
        <v>148254.1533595169</v>
      </c>
      <c r="W51" s="67">
        <f>EDisponible!D64</f>
        <v>0.72782922034229958</v>
      </c>
      <c r="X51" s="67">
        <f t="shared" si="80"/>
        <v>-7.2170779657700468E-2</v>
      </c>
      <c r="Y51" s="67">
        <f>IF(X51&lt;0, 0, 0.00035*(10*X51/((1/COS(M$1))-0.8))^(3/(1+1/(DATOS!E$6))))</f>
        <v>0</v>
      </c>
      <c r="Z51" s="67">
        <f t="shared" si="81"/>
        <v>148254.1533595169</v>
      </c>
      <c r="AA51" s="67">
        <f t="shared" si="82"/>
        <v>16132964.420549076</v>
      </c>
      <c r="AB51" s="67">
        <f t="shared" si="57"/>
        <v>0.23720271118466635</v>
      </c>
      <c r="AC51" s="67">
        <f t="shared" si="58"/>
        <v>1.6659352352025893E-2</v>
      </c>
      <c r="AD51" s="67">
        <f t="shared" si="83"/>
        <v>134382.36938231214</v>
      </c>
      <c r="AE51" s="67">
        <f>EDisponible!E64</f>
        <v>0.7414073456251048</v>
      </c>
      <c r="AF51" s="67">
        <f t="shared" si="84"/>
        <v>-5.8592654374895248E-2</v>
      </c>
      <c r="AG51" s="67">
        <f>IF(AF51&lt;0, 0, 0.00035*(10*AF51/((1/COS(M$1))-0.8))^(3/(1+1/(DATOS!E$6))))</f>
        <v>0</v>
      </c>
      <c r="AH51" s="67">
        <f t="shared" si="85"/>
        <v>134382.36938231214</v>
      </c>
      <c r="AI51" s="67">
        <f t="shared" si="86"/>
        <v>13704041.181574702</v>
      </c>
      <c r="AJ51" s="67">
        <f t="shared" si="59"/>
        <v>0.27924484823828244</v>
      </c>
      <c r="AK51" s="67">
        <f t="shared" si="60"/>
        <v>1.8023018525994243E-2</v>
      </c>
      <c r="AL51" s="67">
        <f t="shared" si="61"/>
        <v>123494.09404825445</v>
      </c>
      <c r="AM51" s="67">
        <f>EDisponible!F64</f>
        <v>0.75577489919774854</v>
      </c>
      <c r="AN51" s="67">
        <f t="shared" si="87"/>
        <v>-4.4225100802251505E-2</v>
      </c>
      <c r="AO51" s="67">
        <f>IF(AN51&lt;0, 0, 0.00035*(10*AN51/((1/COS(M$1))-0.8))^(3/(1+1/(DATOS!E$6))))</f>
        <v>0</v>
      </c>
      <c r="AP51" s="67">
        <f t="shared" si="88"/>
        <v>123494.09404825445</v>
      </c>
      <c r="AQ51" s="67">
        <f t="shared" si="89"/>
        <v>11565315.218044382</v>
      </c>
      <c r="AR51" s="67">
        <f t="shared" si="62"/>
        <v>0.33088444437981207</v>
      </c>
      <c r="AS51" s="67">
        <f t="shared" si="63"/>
        <v>2.0001817917363621E-2</v>
      </c>
      <c r="AT51" s="67">
        <f t="shared" si="64"/>
        <v>115663.66457411913</v>
      </c>
      <c r="AU51" s="67">
        <f>EDisponible!G64</f>
        <v>0.77101146616364824</v>
      </c>
      <c r="AV51" s="67">
        <f t="shared" si="90"/>
        <v>-2.8988533836351804E-2</v>
      </c>
      <c r="AW51" s="67">
        <f>IF(AV51&lt;0, 0, 0.00035*(10*AV51/((1/COS(M$1))-0.8))^(3/(1+1/(DATOS!E$6))))</f>
        <v>0</v>
      </c>
      <c r="AX51" s="67">
        <f t="shared" si="65"/>
        <v>115663.66457411913</v>
      </c>
      <c r="AY51" s="67">
        <f t="shared" si="91"/>
        <v>9691832.5782524422</v>
      </c>
      <c r="AZ51" s="67">
        <f t="shared" si="66"/>
        <v>0.3948461623849075</v>
      </c>
      <c r="BA51" s="67">
        <f t="shared" si="67"/>
        <v>2.2917180761252268E-2</v>
      </c>
      <c r="BB51" s="67">
        <f t="shared" si="68"/>
        <v>111054.73955180241</v>
      </c>
      <c r="BC51" s="67">
        <f>EDisponible!H64</f>
        <v>0.78720833704186666</v>
      </c>
      <c r="BD51" s="67">
        <f t="shared" si="92"/>
        <v>-1.2791662958133387E-2</v>
      </c>
      <c r="BE51" s="67">
        <f>IF(BD51&lt;0, 0, 0.00035*(10*BD51/((1/COS(M$1))-0.8))^(3/(1+1/(DATOS!E$6))))</f>
        <v>0</v>
      </c>
      <c r="BF51" s="67">
        <f t="shared" si="69"/>
        <v>111054.73955180241</v>
      </c>
      <c r="BG51" s="67">
        <f t="shared" si="93"/>
        <v>8059882.1415829686</v>
      </c>
      <c r="BH51" s="67">
        <f t="shared" si="70"/>
        <v>0.47479390303447</v>
      </c>
      <c r="BI51" s="67">
        <f t="shared" si="71"/>
        <v>2.7283774520976339E-2</v>
      </c>
      <c r="BJ51" s="67">
        <f t="shared" si="72"/>
        <v>109952.00350829681</v>
      </c>
      <c r="BK51" s="67">
        <f>EDisponible!I64</f>
        <v>0.80447081858657743</v>
      </c>
      <c r="BL51" s="67">
        <f t="shared" si="94"/>
        <v>4.4708185865773853E-3</v>
      </c>
      <c r="BM51" s="67">
        <f>IF(BL51&lt;0, 0, 0.00035*(10*BL51/((1/COS(M$1))-0.8))^(3/(1+1/(DATOS!E$6))))</f>
        <v>6.1418034301039777E-6</v>
      </c>
      <c r="BN51" s="67">
        <f t="shared" si="73"/>
        <v>109976.75461418851</v>
      </c>
    </row>
    <row r="52" spans="1:66">
      <c r="A52" s="41">
        <f>EDisponible!A65</f>
        <v>245</v>
      </c>
      <c r="B52" s="44"/>
      <c r="C52" s="67">
        <f t="shared" si="48"/>
        <v>26499959.014504787</v>
      </c>
      <c r="D52" s="67">
        <f t="shared" si="1"/>
        <v>0.14440712523009586</v>
      </c>
      <c r="E52" s="67">
        <f t="shared" si="49"/>
        <v>1.4435305490032397E-2</v>
      </c>
      <c r="F52" s="67">
        <f t="shared" si="50"/>
        <v>191267.50192385723</v>
      </c>
      <c r="G52" s="67">
        <f>EDisponible!B65</f>
        <v>0.71741167576959664</v>
      </c>
      <c r="H52" s="67">
        <f t="shared" si="74"/>
        <v>-8.2588324230403409E-2</v>
      </c>
      <c r="I52" s="67">
        <f>IF(H52&lt;0, 0, 0.00035*(10*H52/((1/COS(M$1))-0.8))^(3/(1+1/(DATOS!E$6))))</f>
        <v>0</v>
      </c>
      <c r="J52" s="67">
        <f t="shared" si="75"/>
        <v>191267.50192385723</v>
      </c>
      <c r="K52" s="67">
        <f t="shared" si="76"/>
        <v>22892356.227420457</v>
      </c>
      <c r="L52" s="11">
        <f t="shared" si="51"/>
        <v>0.16716422119171293</v>
      </c>
      <c r="M52" s="67">
        <f t="shared" si="52"/>
        <v>1.4880624676188437E-2</v>
      </c>
      <c r="N52" s="67">
        <f t="shared" si="53"/>
        <v>170326.28048692446</v>
      </c>
      <c r="O52" s="67">
        <f>EDisponible!C65</f>
        <v>0.72986600667518642</v>
      </c>
      <c r="P52" s="67">
        <f t="shared" si="77"/>
        <v>-7.0133993324813626E-2</v>
      </c>
      <c r="Q52" s="67">
        <f>IF(P52&lt;0, 0, 0.00035*(10*P52/((1/COS(M$1))-0.8))^(3/(1+1/(DATOS!E$6))))</f>
        <v>0</v>
      </c>
      <c r="R52" s="67">
        <f t="shared" si="78"/>
        <v>170326.28048692446</v>
      </c>
      <c r="S52" s="67">
        <f t="shared" si="79"/>
        <v>19673083.779738046</v>
      </c>
      <c r="T52" s="67">
        <f t="shared" si="54"/>
        <v>0.19451871108998831</v>
      </c>
      <c r="U52" s="67">
        <f t="shared" si="55"/>
        <v>1.5501999553441234E-2</v>
      </c>
      <c r="V52" s="67">
        <f t="shared" si="56"/>
        <v>152486.06798415558</v>
      </c>
      <c r="W52" s="67">
        <f>EDisponible!D65</f>
        <v>0.7429923290994308</v>
      </c>
      <c r="X52" s="67">
        <f t="shared" si="80"/>
        <v>-5.7007670900569241E-2</v>
      </c>
      <c r="Y52" s="67">
        <f>IF(X52&lt;0, 0, 0.00035*(10*X52/((1/COS(M$1))-0.8))^(3/(1+1/(DATOS!E$6))))</f>
        <v>0</v>
      </c>
      <c r="Z52" s="67">
        <f t="shared" si="81"/>
        <v>152486.06798415558</v>
      </c>
      <c r="AA52" s="67">
        <f t="shared" si="82"/>
        <v>16812173.426101707</v>
      </c>
      <c r="AB52" s="67">
        <f t="shared" si="57"/>
        <v>0.22761976117012545</v>
      </c>
      <c r="AC52" s="67">
        <f t="shared" si="58"/>
        <v>1.6379593785510068E-2</v>
      </c>
      <c r="AD52" s="67">
        <f t="shared" si="83"/>
        <v>137688.28568554652</v>
      </c>
      <c r="AE52" s="67">
        <f>EDisponible!E65</f>
        <v>0.75685333199229443</v>
      </c>
      <c r="AF52" s="67">
        <f t="shared" si="84"/>
        <v>-4.3146668007705613E-2</v>
      </c>
      <c r="AG52" s="67">
        <f>IF(AF52&lt;0, 0, 0.00035*(10*AF52/((1/COS(M$1))-0.8))^(3/(1+1/(DATOS!E$6))))</f>
        <v>0</v>
      </c>
      <c r="AH52" s="67">
        <f t="shared" si="85"/>
        <v>137688.28568554652</v>
      </c>
      <c r="AI52" s="67">
        <f t="shared" si="86"/>
        <v>14280990.832014261</v>
      </c>
      <c r="AJ52" s="67">
        <f t="shared" si="59"/>
        <v>0.26796340289087994</v>
      </c>
      <c r="AK52" s="67">
        <f t="shared" si="60"/>
        <v>1.7635301890013999E-2</v>
      </c>
      <c r="AL52" s="67">
        <f t="shared" si="61"/>
        <v>125924.79230554684</v>
      </c>
      <c r="AM52" s="67">
        <f>EDisponible!F65</f>
        <v>0.77152020959770162</v>
      </c>
      <c r="AN52" s="67">
        <f t="shared" si="87"/>
        <v>-2.8479790402298422E-2</v>
      </c>
      <c r="AO52" s="67">
        <f>IF(AN52&lt;0, 0, 0.00035*(10*AN52/((1/COS(M$1))-0.8))^(3/(1+1/(DATOS!E$6))))</f>
        <v>0</v>
      </c>
      <c r="AP52" s="67">
        <f t="shared" si="88"/>
        <v>125924.79230554684</v>
      </c>
      <c r="AQ52" s="67">
        <f t="shared" si="89"/>
        <v>12052223.020192953</v>
      </c>
      <c r="AR52" s="67">
        <f t="shared" si="62"/>
        <v>0.31751676795130651</v>
      </c>
      <c r="AS52" s="67">
        <f t="shared" si="63"/>
        <v>1.9457444640463749E-2</v>
      </c>
      <c r="AT52" s="67">
        <f t="shared" si="64"/>
        <v>117252.73110496359</v>
      </c>
      <c r="AU52" s="67">
        <f>EDisponible!G65</f>
        <v>0.78707420504205761</v>
      </c>
      <c r="AV52" s="67">
        <f t="shared" si="90"/>
        <v>-1.2925794957942438E-2</v>
      </c>
      <c r="AW52" s="67">
        <f>IF(AV52&lt;0, 0, 0.00035*(10*AV52/((1/COS(M$1))-0.8))^(3/(1+1/(DATOS!E$6))))</f>
        <v>0</v>
      </c>
      <c r="AX52" s="67">
        <f t="shared" si="65"/>
        <v>117252.73110496359</v>
      </c>
      <c r="AY52" s="67">
        <f t="shared" si="91"/>
        <v>10099865.46023616</v>
      </c>
      <c r="AZ52" s="67">
        <f t="shared" si="66"/>
        <v>0.3788944432048425</v>
      </c>
      <c r="BA52" s="67">
        <f t="shared" si="67"/>
        <v>2.2142005437324561E-2</v>
      </c>
      <c r="BB52" s="67">
        <f t="shared" si="68"/>
        <v>111815.6379683978</v>
      </c>
      <c r="BC52" s="67">
        <f>EDisponible!H65</f>
        <v>0.80360851073023887</v>
      </c>
      <c r="BD52" s="67">
        <f t="shared" si="92"/>
        <v>3.6085107302388231E-3</v>
      </c>
      <c r="BE52" s="67">
        <f>IF(BD52&lt;0, 0, 0.00035*(10*BD52/((1/COS(M$1))-0.8))^(3/(1+1/(DATOS!E$6))))</f>
        <v>3.5067977040557341E-6</v>
      </c>
      <c r="BF52" s="67">
        <f t="shared" si="69"/>
        <v>111833.3470609014</v>
      </c>
      <c r="BG52" s="67">
        <f t="shared" si="93"/>
        <v>8399208.7768839877</v>
      </c>
      <c r="BH52" s="67">
        <f t="shared" si="70"/>
        <v>0.45561230845123651</v>
      </c>
      <c r="BI52" s="67">
        <f t="shared" si="71"/>
        <v>2.6162906797079982E-2</v>
      </c>
      <c r="BJ52" s="67">
        <f t="shared" si="72"/>
        <v>109873.85819941596</v>
      </c>
      <c r="BK52" s="67">
        <f>EDisponible!I65</f>
        <v>0.82123062730713114</v>
      </c>
      <c r="BL52" s="67">
        <f t="shared" si="94"/>
        <v>2.12306273071311E-2</v>
      </c>
      <c r="BM52" s="67">
        <f>IF(BL52&lt;0, 0, 0.00035*(10*BL52/((1/COS(M$1))-0.8))^(3/(1+1/(DATOS!E$6))))</f>
        <v>3.6124495920355159E-4</v>
      </c>
      <c r="BN52" s="67">
        <f t="shared" si="73"/>
        <v>111390.94411538974</v>
      </c>
    </row>
    <row r="53" spans="1:66">
      <c r="A53" s="41">
        <f>EDisponible!A66</f>
        <v>250</v>
      </c>
      <c r="B53" s="44"/>
      <c r="C53" s="67">
        <f t="shared" si="48"/>
        <v>27592627.045506854</v>
      </c>
      <c r="D53" s="67">
        <f t="shared" si="1"/>
        <v>0.13868860307098407</v>
      </c>
      <c r="E53" s="67">
        <f t="shared" si="49"/>
        <v>1.433363049043088E-2</v>
      </c>
      <c r="F53" s="67">
        <f t="shared" si="50"/>
        <v>197751.26016528238</v>
      </c>
      <c r="G53" s="67">
        <f>EDisponible!B66</f>
        <v>0.73205273037713947</v>
      </c>
      <c r="H53" s="67">
        <f t="shared" si="74"/>
        <v>-6.7947269622860573E-2</v>
      </c>
      <c r="I53" s="67">
        <f>IF(H53&lt;0, 0, 0.00035*(10*H53/((1/COS(M$1))-0.8))^(3/(1+1/(DATOS!E$6))))</f>
        <v>0</v>
      </c>
      <c r="J53" s="67">
        <f t="shared" si="75"/>
        <v>197751.26016528238</v>
      </c>
      <c r="K53" s="67">
        <f t="shared" si="76"/>
        <v>23836272.623303264</v>
      </c>
      <c r="L53" s="11">
        <f t="shared" si="51"/>
        <v>0.16054451803252112</v>
      </c>
      <c r="M53" s="67">
        <f t="shared" si="52"/>
        <v>1.4744378728778323E-2</v>
      </c>
      <c r="N53" s="67">
        <f t="shared" si="53"/>
        <v>175725.51552019687</v>
      </c>
      <c r="O53" s="67">
        <f>EDisponible!C66</f>
        <v>0.74476123130121064</v>
      </c>
      <c r="P53" s="67">
        <f t="shared" si="77"/>
        <v>-5.5238768698789409E-2</v>
      </c>
      <c r="Q53" s="67">
        <f>IF(P53&lt;0, 0, 0.00035*(10*P53/((1/COS(M$1))-0.8))^(3/(1+1/(DATOS!E$6))))</f>
        <v>0</v>
      </c>
      <c r="R53" s="67">
        <f t="shared" si="78"/>
        <v>175725.51552019687</v>
      </c>
      <c r="S53" s="67">
        <f t="shared" si="79"/>
        <v>20484260.495354064</v>
      </c>
      <c r="T53" s="67">
        <f t="shared" si="54"/>
        <v>0.18681577013082482</v>
      </c>
      <c r="U53" s="67">
        <f t="shared" si="55"/>
        <v>1.5317515130980213E-2</v>
      </c>
      <c r="V53" s="67">
        <f t="shared" si="56"/>
        <v>156883.98504226306</v>
      </c>
      <c r="W53" s="67">
        <f>EDisponible!D66</f>
        <v>0.75815543785656203</v>
      </c>
      <c r="X53" s="67">
        <f t="shared" si="80"/>
        <v>-4.1844562143438013E-2</v>
      </c>
      <c r="Y53" s="67">
        <f>IF(X53&lt;0, 0, 0.00035*(10*X53/((1/COS(M$1))-0.8))^(3/(1+1/(DATOS!E$6))))</f>
        <v>0</v>
      </c>
      <c r="Z53" s="67">
        <f t="shared" si="81"/>
        <v>156883.98504226306</v>
      </c>
      <c r="AA53" s="67">
        <f t="shared" si="82"/>
        <v>17505386.741047177</v>
      </c>
      <c r="AB53" s="67">
        <f t="shared" si="57"/>
        <v>0.21860601862778845</v>
      </c>
      <c r="AC53" s="67">
        <f t="shared" si="58"/>
        <v>1.6126980108040152E-2</v>
      </c>
      <c r="AD53" s="67">
        <f t="shared" si="83"/>
        <v>141154.51187820884</v>
      </c>
      <c r="AE53" s="67">
        <f>EDisponible!E66</f>
        <v>0.77229931835948418</v>
      </c>
      <c r="AF53" s="67">
        <f t="shared" si="84"/>
        <v>-2.7700681640515867E-2</v>
      </c>
      <c r="AG53" s="67">
        <f>IF(AF53&lt;0, 0, 0.00035*(10*AF53/((1/COS(M$1))-0.8))^(3/(1+1/(DATOS!E$6))))</f>
        <v>0</v>
      </c>
      <c r="AH53" s="67">
        <f t="shared" si="85"/>
        <v>141154.51187820884</v>
      </c>
      <c r="AI53" s="67">
        <f t="shared" si="86"/>
        <v>14869836.35153505</v>
      </c>
      <c r="AJ53" s="67">
        <f t="shared" si="59"/>
        <v>0.25735205213640111</v>
      </c>
      <c r="AK53" s="67">
        <f t="shared" si="60"/>
        <v>1.7285205281888535E-2</v>
      </c>
      <c r="AL53" s="67">
        <f t="shared" si="61"/>
        <v>128514.08692218589</v>
      </c>
      <c r="AM53" s="67">
        <f>EDisponible!F66</f>
        <v>0.78726551999765471</v>
      </c>
      <c r="AN53" s="67">
        <f t="shared" si="87"/>
        <v>-1.2734480002345339E-2</v>
      </c>
      <c r="AO53" s="67">
        <f>IF(AN53&lt;0, 0, 0.00035*(10*AN53/((1/COS(M$1))-0.8))^(3/(1+1/(DATOS!E$6))))</f>
        <v>0</v>
      </c>
      <c r="AP53" s="67">
        <f t="shared" si="88"/>
        <v>128514.08692218589</v>
      </c>
      <c r="AQ53" s="67">
        <f t="shared" si="89"/>
        <v>12549170.158468299</v>
      </c>
      <c r="AR53" s="67">
        <f t="shared" si="62"/>
        <v>0.30494310394043472</v>
      </c>
      <c r="AS53" s="67">
        <f t="shared" si="63"/>
        <v>1.8965891737878209E-2</v>
      </c>
      <c r="AT53" s="67">
        <f t="shared" si="64"/>
        <v>119003.10131286083</v>
      </c>
      <c r="AU53" s="67">
        <f>EDisponible!G66</f>
        <v>0.80313694392046697</v>
      </c>
      <c r="AV53" s="67">
        <f t="shared" si="90"/>
        <v>3.136943920466928E-3</v>
      </c>
      <c r="AW53" s="67">
        <f>IF(AV53&lt;0, 0, 0.00035*(10*AV53/((1/COS(M$1))-0.8))^(3/(1+1/(DATOS!E$6))))</f>
        <v>2.4313067840566402E-6</v>
      </c>
      <c r="AX53" s="67">
        <f t="shared" si="65"/>
        <v>119018.35675413112</v>
      </c>
      <c r="AY53" s="67">
        <f t="shared" si="91"/>
        <v>10516311.391332945</v>
      </c>
      <c r="AZ53" s="67">
        <f t="shared" si="66"/>
        <v>0.36389022325393072</v>
      </c>
      <c r="BA53" s="67">
        <f t="shared" si="67"/>
        <v>2.1442045140486851E-2</v>
      </c>
      <c r="BB53" s="67">
        <f t="shared" si="68"/>
        <v>112745.61178218854</v>
      </c>
      <c r="BC53" s="67">
        <f>EDisponible!H66</f>
        <v>0.82000868441861108</v>
      </c>
      <c r="BD53" s="67">
        <f t="shared" si="92"/>
        <v>2.0008684418611034E-2</v>
      </c>
      <c r="BE53" s="67">
        <f>IF(BD53&lt;0, 0, 0.00035*(10*BD53/((1/COS(M$1))-0.8))^(3/(1+1/(DATOS!E$6))))</f>
        <v>3.0936456688111422E-4</v>
      </c>
      <c r="BF53" s="67">
        <f t="shared" si="69"/>
        <v>114372.29884157187</v>
      </c>
      <c r="BG53" s="67">
        <f t="shared" si="93"/>
        <v>8745531.8376551326</v>
      </c>
      <c r="BH53" s="67">
        <f t="shared" si="70"/>
        <v>0.43757006103656748</v>
      </c>
      <c r="BI53" s="67">
        <f t="shared" si="71"/>
        <v>2.5150796529225951E-2</v>
      </c>
      <c r="BJ53" s="67">
        <f t="shared" si="72"/>
        <v>109978.54589436587</v>
      </c>
      <c r="BK53" s="67">
        <f>EDisponible!I66</f>
        <v>0.83799043602768486</v>
      </c>
      <c r="BL53" s="67">
        <f t="shared" si="94"/>
        <v>3.7990436027684815E-2</v>
      </c>
      <c r="BM53" s="67">
        <f>IF(BL53&lt;0, 0, 0.00035*(10*BL53/((1/COS(M$1))-0.8))^(3/(1+1/(DATOS!E$6))))</f>
        <v>1.6547768560769424E-3</v>
      </c>
      <c r="BN53" s="67">
        <f t="shared" si="73"/>
        <v>117214.49773388376</v>
      </c>
    </row>
    <row r="54" spans="1:66">
      <c r="A54" s="41">
        <f>EDisponible!A67</f>
        <v>255</v>
      </c>
      <c r="B54" s="44"/>
      <c r="C54" s="67">
        <f t="shared" si="48"/>
        <v>28707369.17814533</v>
      </c>
      <c r="D54" s="67">
        <f t="shared" si="1"/>
        <v>0.13330315558533648</v>
      </c>
      <c r="E54" s="67">
        <f t="shared" si="49"/>
        <v>1.4241633293435868E-2</v>
      </c>
      <c r="F54" s="67">
        <f t="shared" si="50"/>
        <v>204419.91232721461</v>
      </c>
      <c r="G54" s="67">
        <f>EDisponible!B67</f>
        <v>0.7466937849846822</v>
      </c>
      <c r="H54" s="67">
        <f t="shared" si="74"/>
        <v>-5.3306215015317848E-2</v>
      </c>
      <c r="I54" s="67">
        <f>IF(H54&lt;0, 0, 0.00035*(10*H54/((1/COS(M$1))-0.8))^(3/(1+1/(DATOS!E$6))))</f>
        <v>0</v>
      </c>
      <c r="J54" s="67">
        <f t="shared" si="75"/>
        <v>204419.91232721461</v>
      </c>
      <c r="K54" s="67">
        <f t="shared" si="76"/>
        <v>24799258.037284717</v>
      </c>
      <c r="L54" s="11">
        <f t="shared" si="51"/>
        <v>0.1543103787317581</v>
      </c>
      <c r="M54" s="67">
        <f t="shared" si="52"/>
        <v>1.4621101174681603E-2</v>
      </c>
      <c r="N54" s="67">
        <f t="shared" si="53"/>
        <v>181296.23041008788</v>
      </c>
      <c r="O54" s="67">
        <f>EDisponible!C67</f>
        <v>0.75965645592723485</v>
      </c>
      <c r="P54" s="67">
        <f t="shared" si="77"/>
        <v>-4.0343544072765192E-2</v>
      </c>
      <c r="Q54" s="67">
        <f>IF(P54&lt;0, 0, 0.00035*(10*P54/((1/COS(M$1))-0.8))^(3/(1+1/(DATOS!E$6))))</f>
        <v>0</v>
      </c>
      <c r="R54" s="67">
        <f t="shared" si="78"/>
        <v>181296.23041008788</v>
      </c>
      <c r="S54" s="67">
        <f t="shared" si="79"/>
        <v>21311824.61936637</v>
      </c>
      <c r="T54" s="67">
        <f t="shared" si="54"/>
        <v>0.17956148609268049</v>
      </c>
      <c r="U54" s="67">
        <f t="shared" si="55"/>
        <v>1.5150590618345111E-2</v>
      </c>
      <c r="V54" s="67">
        <f t="shared" si="56"/>
        <v>161443.36506899426</v>
      </c>
      <c r="W54" s="67">
        <f>EDisponible!D67</f>
        <v>0.77331854661369326</v>
      </c>
      <c r="X54" s="67">
        <f t="shared" si="80"/>
        <v>-2.6681453386306786E-2</v>
      </c>
      <c r="Y54" s="67">
        <f>IF(X54&lt;0, 0, 0.00035*(10*X54/((1/COS(M$1))-0.8))^(3/(1+1/(DATOS!E$6))))</f>
        <v>0</v>
      </c>
      <c r="Z54" s="67">
        <f t="shared" si="81"/>
        <v>161443.36506899426</v>
      </c>
      <c r="AA54" s="67">
        <f t="shared" si="82"/>
        <v>18212604.36538548</v>
      </c>
      <c r="AB54" s="67">
        <f t="shared" si="57"/>
        <v>0.21011728049575981</v>
      </c>
      <c r="AC54" s="67">
        <f t="shared" si="58"/>
        <v>1.5898411134930596E-2</v>
      </c>
      <c r="AD54" s="67">
        <f t="shared" si="83"/>
        <v>144775.73601936505</v>
      </c>
      <c r="AE54" s="67">
        <f>EDisponible!E67</f>
        <v>0.78774530472667381</v>
      </c>
      <c r="AF54" s="67">
        <f t="shared" si="84"/>
        <v>-1.2254695273326233E-2</v>
      </c>
      <c r="AG54" s="67">
        <f>IF(AF54&lt;0, 0, 0.00035*(10*AF54/((1/COS(M$1))-0.8))^(3/(1+1/(DATOS!E$6))))</f>
        <v>0</v>
      </c>
      <c r="AH54" s="67">
        <f t="shared" si="85"/>
        <v>144775.73601936505</v>
      </c>
      <c r="AI54" s="67">
        <f t="shared" si="86"/>
        <v>15470577.740137065</v>
      </c>
      <c r="AJ54" s="67">
        <f t="shared" si="59"/>
        <v>0.24735875830103912</v>
      </c>
      <c r="AK54" s="67">
        <f t="shared" si="60"/>
        <v>1.6968432164099184E-2</v>
      </c>
      <c r="AL54" s="67">
        <f t="shared" si="61"/>
        <v>131255.72446146933</v>
      </c>
      <c r="AM54" s="67">
        <f>EDisponible!F67</f>
        <v>0.8030108303976079</v>
      </c>
      <c r="AN54" s="67">
        <f t="shared" si="87"/>
        <v>3.0108303976078554E-3</v>
      </c>
      <c r="AO54" s="67">
        <f>IF(AN54&lt;0, 0, 0.00035*(10*AN54/((1/COS(M$1))-0.8))^(3/(1+1/(DATOS!E$6))))</f>
        <v>2.1838982370857471E-6</v>
      </c>
      <c r="AP54" s="67">
        <f t="shared" si="88"/>
        <v>131272.617545196</v>
      </c>
      <c r="AQ54" s="67">
        <f t="shared" si="89"/>
        <v>13056156.632870417</v>
      </c>
      <c r="AR54" s="67">
        <f t="shared" si="62"/>
        <v>0.29310179156135596</v>
      </c>
      <c r="AS54" s="67">
        <f t="shared" si="63"/>
        <v>1.8521126659049959E-2</v>
      </c>
      <c r="AT54" s="67">
        <f t="shared" si="64"/>
        <v>120907.36533889412</v>
      </c>
      <c r="AU54" s="67">
        <f>EDisponible!G67</f>
        <v>0.81919968279887634</v>
      </c>
      <c r="AV54" s="67">
        <f t="shared" si="90"/>
        <v>1.9199682798876294E-2</v>
      </c>
      <c r="AW54" s="67">
        <f>IF(AV54&lt;0, 0, 0.00035*(10*AV54/((1/COS(M$1))-0.8))^(3/(1+1/(DATOS!E$6))))</f>
        <v>2.7770977012934772E-4</v>
      </c>
      <c r="AX54" s="67">
        <f t="shared" si="65"/>
        <v>122720.27646753771</v>
      </c>
      <c r="AY54" s="67">
        <f t="shared" si="91"/>
        <v>10941170.371542795</v>
      </c>
      <c r="AZ54" s="67">
        <f t="shared" si="66"/>
        <v>0.34975992238939907</v>
      </c>
      <c r="BA54" s="67">
        <f t="shared" si="67"/>
        <v>2.0808709654189943E-2</v>
      </c>
      <c r="BB54" s="67">
        <f t="shared" si="68"/>
        <v>113835.81876922977</v>
      </c>
      <c r="BC54" s="67">
        <f>EDisponible!H67</f>
        <v>0.83640885810698329</v>
      </c>
      <c r="BD54" s="67">
        <f t="shared" si="92"/>
        <v>3.6408858106983244E-2</v>
      </c>
      <c r="BE54" s="67">
        <f>IF(BD54&lt;0, 0, 0.00035*(10*BD54/((1/COS(M$1))-0.8))^(3/(1+1/(DATOS!E$6))))</f>
        <v>1.4806095821393913E-3</v>
      </c>
      <c r="BF54" s="67">
        <f t="shared" si="69"/>
        <v>121935.61961519269</v>
      </c>
      <c r="BG54" s="67">
        <f t="shared" si="93"/>
        <v>9098851.3238963988</v>
      </c>
      <c r="BH54" s="67">
        <f t="shared" si="70"/>
        <v>0.42057868227274847</v>
      </c>
      <c r="BI54" s="67">
        <f t="shared" si="71"/>
        <v>2.4235022660946043E-2</v>
      </c>
      <c r="BJ54" s="67">
        <f t="shared" si="72"/>
        <v>110255.43401160407</v>
      </c>
      <c r="BK54" s="67">
        <f>EDisponible!I67</f>
        <v>0.85475024474823846</v>
      </c>
      <c r="BL54" s="67">
        <f t="shared" si="94"/>
        <v>5.4750244748238419E-2</v>
      </c>
      <c r="BM54" s="67">
        <f>IF(BL54&lt;0, 0, 0.00035*(10*BL54/((1/COS(M$1))-0.8))^(3/(1+1/(DATOS!E$6))))</f>
        <v>4.3035990570864822E-3</v>
      </c>
      <c r="BN54" s="67">
        <f t="shared" si="73"/>
        <v>129834.33800064938</v>
      </c>
    </row>
    <row r="55" spans="1:66">
      <c r="A55" s="41">
        <f>EDisponible!A68</f>
        <v>260</v>
      </c>
      <c r="B55" s="44"/>
      <c r="C55" s="67">
        <f t="shared" si="48"/>
        <v>29844185.412420217</v>
      </c>
      <c r="D55" s="67">
        <f t="shared" si="1"/>
        <v>0.12822540964403112</v>
      </c>
      <c r="E55" s="67">
        <f t="shared" si="49"/>
        <v>1.4158229240791706E-2</v>
      </c>
      <c r="F55" s="67">
        <f t="shared" si="50"/>
        <v>211270.40928686858</v>
      </c>
      <c r="G55" s="67">
        <f>EDisponible!B68</f>
        <v>0.76133483959222503</v>
      </c>
      <c r="H55" s="67">
        <f t="shared" si="74"/>
        <v>-3.8665160407775012E-2</v>
      </c>
      <c r="I55" s="67">
        <f>IF(H55&lt;0, 0, 0.00035*(10*H55/((1/COS(M$1))-0.8))^(3/(1+1/(DATOS!E$6))))</f>
        <v>0</v>
      </c>
      <c r="J55" s="67">
        <f t="shared" si="75"/>
        <v>211270.40928686858</v>
      </c>
      <c r="K55" s="67">
        <f t="shared" si="76"/>
        <v>25781312.469364814</v>
      </c>
      <c r="L55" s="11">
        <f t="shared" si="51"/>
        <v>0.14843243161290781</v>
      </c>
      <c r="M55" s="67">
        <f t="shared" si="52"/>
        <v>1.4509338556389176E-2</v>
      </c>
      <c r="N55" s="67">
        <f t="shared" si="53"/>
        <v>187034.89552303596</v>
      </c>
      <c r="O55" s="67">
        <f>EDisponible!C68</f>
        <v>0.77455168055325907</v>
      </c>
      <c r="P55" s="67">
        <f t="shared" si="77"/>
        <v>-2.5448319446740975E-2</v>
      </c>
      <c r="Q55" s="67">
        <f>IF(P55&lt;0, 0, 0.00035*(10*P55/((1/COS(M$1))-0.8))^(3/(1+1/(DATOS!E$6))))</f>
        <v>0</v>
      </c>
      <c r="R55" s="67">
        <f t="shared" si="78"/>
        <v>187034.89552303596</v>
      </c>
      <c r="S55" s="67">
        <f t="shared" si="79"/>
        <v>22155776.151774954</v>
      </c>
      <c r="T55" s="67">
        <f t="shared" si="54"/>
        <v>0.17272168096415016</v>
      </c>
      <c r="U55" s="67">
        <f t="shared" si="55"/>
        <v>1.4999257955023052E-2</v>
      </c>
      <c r="V55" s="67">
        <f t="shared" si="56"/>
        <v>166160.10084711024</v>
      </c>
      <c r="W55" s="67">
        <f>EDisponible!D68</f>
        <v>0.7884816553708246</v>
      </c>
      <c r="X55" s="67">
        <f t="shared" si="80"/>
        <v>-1.1518344629175448E-2</v>
      </c>
      <c r="Y55" s="67">
        <f>IF(X55&lt;0, 0, 0.00035*(10*X55/((1/COS(M$1))-0.8))^(3/(1+1/(DATOS!E$6))))</f>
        <v>0</v>
      </c>
      <c r="Z55" s="67">
        <f t="shared" si="81"/>
        <v>166160.10084711024</v>
      </c>
      <c r="AA55" s="67">
        <f t="shared" si="82"/>
        <v>18933826.299116626</v>
      </c>
      <c r="AB55" s="67">
        <f t="shared" si="57"/>
        <v>0.20211355272539613</v>
      </c>
      <c r="AC55" s="67">
        <f t="shared" si="58"/>
        <v>1.569119200990567E-2</v>
      </c>
      <c r="AD55" s="67">
        <f t="shared" si="83"/>
        <v>148547.15197082033</v>
      </c>
      <c r="AE55" s="67">
        <f>EDisponible!E68</f>
        <v>0.80319129109386356</v>
      </c>
      <c r="AF55" s="67">
        <f t="shared" si="84"/>
        <v>3.1912910938635131E-3</v>
      </c>
      <c r="AG55" s="67">
        <f>IF(AF55&lt;0, 0, 0.00035*(10*AF55/((1/COS(M$1))-0.8))^(3/(1+1/(DATOS!E$6))))</f>
        <v>2.5430192983873892E-6</v>
      </c>
      <c r="AH55" s="67">
        <f t="shared" si="85"/>
        <v>148571.2265136558</v>
      </c>
      <c r="AI55" s="67">
        <f t="shared" si="86"/>
        <v>16083214.997820308</v>
      </c>
      <c r="AJ55" s="67">
        <f t="shared" si="59"/>
        <v>0.23793643873557796</v>
      </c>
      <c r="AK55" s="67">
        <f t="shared" si="60"/>
        <v>1.66812477426674E-2</v>
      </c>
      <c r="AL55" s="67">
        <f t="shared" si="61"/>
        <v>134144.04693861224</v>
      </c>
      <c r="AM55" s="67">
        <f>EDisponible!F68</f>
        <v>0.81875614079756098</v>
      </c>
      <c r="AN55" s="67">
        <f t="shared" si="87"/>
        <v>1.8756140797560938E-2</v>
      </c>
      <c r="AO55" s="67">
        <f>IF(AN55&lt;0, 0, 0.00035*(10*AN55/((1/COS(M$1))-0.8))^(3/(1+1/(DATOS!E$6))))</f>
        <v>2.6124231022614633E-4</v>
      </c>
      <c r="AP55" s="67">
        <f t="shared" si="88"/>
        <v>136244.85505955943</v>
      </c>
      <c r="AQ55" s="67">
        <f t="shared" si="89"/>
        <v>13573182.44339931</v>
      </c>
      <c r="AR55" s="67">
        <f t="shared" si="62"/>
        <v>0.28193704136504694</v>
      </c>
      <c r="AS55" s="67">
        <f t="shared" si="63"/>
        <v>1.8117905569054269E-2</v>
      </c>
      <c r="AT55" s="67">
        <f t="shared" si="64"/>
        <v>122958.81889052699</v>
      </c>
      <c r="AU55" s="67">
        <f>EDisponible!G68</f>
        <v>0.83526242167728559</v>
      </c>
      <c r="AV55" s="67">
        <f t="shared" si="90"/>
        <v>3.5262421677285549E-2</v>
      </c>
      <c r="AW55" s="67">
        <f>IF(AV55&lt;0, 0, 0.00035*(10*AV55/((1/COS(M$1))-0.8))^(3/(1+1/(DATOS!E$6))))</f>
        <v>1.3617581580657753E-3</v>
      </c>
      <c r="AX55" s="67">
        <f t="shared" si="65"/>
        <v>132200.51485213407</v>
      </c>
      <c r="AY55" s="67">
        <f t="shared" si="91"/>
        <v>11374442.400865713</v>
      </c>
      <c r="AZ55" s="67">
        <f t="shared" si="66"/>
        <v>0.33643696676583834</v>
      </c>
      <c r="BA55" s="67">
        <f t="shared" si="67"/>
        <v>2.0234531875236651E-2</v>
      </c>
      <c r="BB55" s="67">
        <f t="shared" si="68"/>
        <v>115078.25866168029</v>
      </c>
      <c r="BC55" s="67">
        <f>EDisponible!H68</f>
        <v>0.8528090317953555</v>
      </c>
      <c r="BD55" s="67">
        <f t="shared" si="92"/>
        <v>5.2809031795355454E-2</v>
      </c>
      <c r="BE55" s="67">
        <f>IF(BD55&lt;0, 0, 0.00035*(10*BD55/((1/COS(M$1))-0.8))^(3/(1+1/(DATOS!E$6))))</f>
        <v>3.9158691427720769E-3</v>
      </c>
      <c r="BF55" s="67">
        <f t="shared" si="69"/>
        <v>137348.67266857449</v>
      </c>
      <c r="BG55" s="67">
        <f t="shared" si="93"/>
        <v>9459167.2356077898</v>
      </c>
      <c r="BH55" s="67">
        <f t="shared" si="70"/>
        <v>0.40455811856191526</v>
      </c>
      <c r="BI55" s="67">
        <f t="shared" si="71"/>
        <v>2.3404788105818156E-2</v>
      </c>
      <c r="BJ55" s="67">
        <f t="shared" si="72"/>
        <v>110694.902403449</v>
      </c>
      <c r="BK55" s="67">
        <f>EDisponible!I68</f>
        <v>0.87151005346879218</v>
      </c>
      <c r="BL55" s="67">
        <f t="shared" si="94"/>
        <v>7.1510053468792134E-2</v>
      </c>
      <c r="BM55" s="67">
        <f>IF(BL55&lt;0, 0, 0.00035*(10*BL55/((1/COS(M$1))-0.8))^(3/(1+1/(DATOS!E$6))))</f>
        <v>8.6530024310079081E-3</v>
      </c>
      <c r="BN55" s="67">
        <f t="shared" si="73"/>
        <v>151620.00094596128</v>
      </c>
    </row>
    <row r="56" spans="1:66" ht="15" customHeight="1">
      <c r="A56" s="41">
        <f>EDisponible!A69</f>
        <v>265</v>
      </c>
      <c r="B56" s="44"/>
      <c r="C56" s="67">
        <f t="shared" si="48"/>
        <v>31003075.748331502</v>
      </c>
      <c r="D56" s="67">
        <f t="shared" si="1"/>
        <v>0.12343236300372382</v>
      </c>
      <c r="E56" s="67">
        <f t="shared" si="49"/>
        <v>1.4082472887917573E-2</v>
      </c>
      <c r="F56" s="67">
        <f t="shared" si="50"/>
        <v>218299.9868339666</v>
      </c>
      <c r="G56" s="67">
        <f>EDisponible!B69</f>
        <v>0.77597589419976776</v>
      </c>
      <c r="H56" s="67">
        <f t="shared" si="74"/>
        <v>-2.4024105800232287E-2</v>
      </c>
      <c r="I56" s="67">
        <f>IF(H56&lt;0, 0, 0.00035*(10*H56/((1/COS(M$1))-0.8))^(3/(1+1/(DATOS!E$6))))</f>
        <v>0</v>
      </c>
      <c r="J56" s="67">
        <f t="shared" si="75"/>
        <v>218299.9868339666</v>
      </c>
      <c r="K56" s="67">
        <f t="shared" si="76"/>
        <v>26782435.919543549</v>
      </c>
      <c r="L56" s="11">
        <f t="shared" si="51"/>
        <v>0.14288404951274575</v>
      </c>
      <c r="M56" s="67">
        <f t="shared" si="52"/>
        <v>1.4407823964698764E-2</v>
      </c>
      <c r="N56" s="67">
        <f t="shared" si="53"/>
        <v>192938.31103730426</v>
      </c>
      <c r="O56" s="67">
        <f>EDisponible!C69</f>
        <v>0.78944690517928329</v>
      </c>
      <c r="P56" s="67">
        <f t="shared" si="77"/>
        <v>-1.0553094820716757E-2</v>
      </c>
      <c r="Q56" s="67">
        <f>IF(P56&lt;0, 0, 0.00035*(10*P56/((1/COS(M$1))-0.8))^(3/(1+1/(DATOS!E$6))))</f>
        <v>0</v>
      </c>
      <c r="R56" s="67">
        <f t="shared" si="78"/>
        <v>192938.31103730426</v>
      </c>
      <c r="S56" s="67">
        <f t="shared" si="79"/>
        <v>23016115.092579827</v>
      </c>
      <c r="T56" s="67">
        <f t="shared" si="54"/>
        <v>0.16626537035495265</v>
      </c>
      <c r="U56" s="67">
        <f t="shared" si="55"/>
        <v>1.4861801677053917E-2</v>
      </c>
      <c r="V56" s="67">
        <f t="shared" si="56"/>
        <v>171030.46894108443</v>
      </c>
      <c r="W56" s="67">
        <f>EDisponible!D69</f>
        <v>0.80364476412795582</v>
      </c>
      <c r="X56" s="67">
        <f t="shared" si="80"/>
        <v>3.6447641279557796E-3</v>
      </c>
      <c r="Y56" s="67">
        <f>IF(X56&lt;0, 0, 0.00035*(10*X56/((1/COS(M$1))-0.8))^(3/(1+1/(DATOS!E$6))))</f>
        <v>3.5996909397607062E-6</v>
      </c>
      <c r="Z56" s="67">
        <f t="shared" si="81"/>
        <v>171071.89439156803</v>
      </c>
      <c r="AA56" s="67">
        <f t="shared" si="82"/>
        <v>19669052.542240608</v>
      </c>
      <c r="AB56" s="67">
        <f t="shared" si="57"/>
        <v>0.19455857834441836</v>
      </c>
      <c r="AC56" s="67">
        <f t="shared" si="58"/>
        <v>1.5502973755996208E-2</v>
      </c>
      <c r="AD56" s="67">
        <f t="shared" si="83"/>
        <v>152464.40268383332</v>
      </c>
      <c r="AE56" s="67">
        <f>EDisponible!E69</f>
        <v>0.81863727746105319</v>
      </c>
      <c r="AF56" s="67">
        <f t="shared" si="84"/>
        <v>1.8637277461053148E-2</v>
      </c>
      <c r="AG56" s="67">
        <f>IF(AF56&lt;0, 0, 0.00035*(10*AF56/((1/COS(M$1))-0.8))^(3/(1+1/(DATOS!E$6))))</f>
        <v>2.5693448837286445E-4</v>
      </c>
      <c r="AH56" s="67">
        <f t="shared" si="85"/>
        <v>154991.23165969312</v>
      </c>
      <c r="AI56" s="67">
        <f t="shared" si="86"/>
        <v>16707748.124584783</v>
      </c>
      <c r="AJ56" s="67">
        <f t="shared" si="59"/>
        <v>0.22904241023175603</v>
      </c>
      <c r="AK56" s="67">
        <f t="shared" si="60"/>
        <v>1.6420396576804264E-2</v>
      </c>
      <c r="AL56" s="67">
        <f t="shared" si="61"/>
        <v>137173.92505551991</v>
      </c>
      <c r="AM56" s="67">
        <f>EDisponible!F69</f>
        <v>0.83450145119751407</v>
      </c>
      <c r="AN56" s="67">
        <f t="shared" si="87"/>
        <v>3.4501451197514021E-2</v>
      </c>
      <c r="AO56" s="67">
        <f>IF(AN56&lt;0, 0, 0.00035*(10*AN56/((1/COS(M$1))-0.8))^(3/(1+1/(DATOS!E$6))))</f>
        <v>1.2862334901851289E-3</v>
      </c>
      <c r="AP56" s="67">
        <f t="shared" si="88"/>
        <v>147918.95764722928</v>
      </c>
      <c r="AQ56" s="67">
        <f t="shared" si="89"/>
        <v>14100247.590054978</v>
      </c>
      <c r="AR56" s="67">
        <f t="shared" si="62"/>
        <v>0.2713982769138793</v>
      </c>
      <c r="AS56" s="67">
        <f t="shared" si="63"/>
        <v>1.7751657668483654E-2</v>
      </c>
      <c r="AT56" s="67">
        <f t="shared" si="64"/>
        <v>125151.38412975881</v>
      </c>
      <c r="AU56" s="67">
        <f>EDisponible!G69</f>
        <v>0.85132516055569496</v>
      </c>
      <c r="AV56" s="67">
        <f t="shared" si="90"/>
        <v>5.1325160555694915E-2</v>
      </c>
      <c r="AW56" s="67">
        <f>IF(AV56&lt;0, 0, 0.00035*(10*AV56/((1/COS(M$1))-0.8))^(3/(1+1/(DATOS!E$6))))</f>
        <v>3.634588357973762E-3</v>
      </c>
      <c r="AX56" s="67">
        <f t="shared" si="65"/>
        <v>150775.68199743953</v>
      </c>
      <c r="AY56" s="67">
        <f t="shared" si="91"/>
        <v>11816127.479301697</v>
      </c>
      <c r="AZ56" s="67">
        <f t="shared" si="66"/>
        <v>0.32386100325198536</v>
      </c>
      <c r="BA56" s="67">
        <f t="shared" si="67"/>
        <v>1.9713003087895219E-2</v>
      </c>
      <c r="BB56" s="67">
        <f t="shared" si="68"/>
        <v>116465.67874321894</v>
      </c>
      <c r="BC56" s="67">
        <f>EDisponible!H69</f>
        <v>0.86920920548372771</v>
      </c>
      <c r="BD56" s="67">
        <f t="shared" si="92"/>
        <v>6.9209205483727665E-2</v>
      </c>
      <c r="BE56" s="67">
        <f>IF(BD56&lt;0, 0, 0.00035*(10*BD56/((1/COS(M$1))-0.8))^(3/(1+1/(DATOS!E$6))))</f>
        <v>7.9436461915622942E-3</v>
      </c>
      <c r="BF56" s="67">
        <f t="shared" si="69"/>
        <v>163397.24676820368</v>
      </c>
      <c r="BG56" s="67">
        <f t="shared" si="93"/>
        <v>9826479.5727893058</v>
      </c>
      <c r="BH56" s="67">
        <f t="shared" si="70"/>
        <v>0.38943579657935878</v>
      </c>
      <c r="BI56" s="67">
        <f t="shared" si="71"/>
        <v>2.2650681561440671E-2</v>
      </c>
      <c r="BJ56" s="67">
        <f t="shared" si="72"/>
        <v>111288.22983662607</v>
      </c>
      <c r="BK56" s="67">
        <f>EDisponible!I69</f>
        <v>0.88826986218934589</v>
      </c>
      <c r="BL56" s="67">
        <f t="shared" si="94"/>
        <v>8.8269862189345849E-2</v>
      </c>
      <c r="BM56" s="67">
        <f>IF(BL56&lt;0, 0, 0.00035*(10*BL56/((1/COS(M$1))-0.8))^(3/(1+1/(DATOS!E$6))))</f>
        <v>1.5008302558150124E-2</v>
      </c>
      <c r="BN56" s="67">
        <f t="shared" si="73"/>
        <v>185027.61909157792</v>
      </c>
    </row>
    <row r="57" spans="1:66">
      <c r="A57" s="41">
        <f>EDisponible!A70</f>
        <v>270</v>
      </c>
      <c r="B57" s="44"/>
      <c r="C57" s="67">
        <f t="shared" si="48"/>
        <v>32184040.185879197</v>
      </c>
      <c r="D57" s="67">
        <f t="shared" si="1"/>
        <v>0.11890312334617976</v>
      </c>
      <c r="E57" s="67">
        <f t="shared" si="49"/>
        <v>1.4013537952869462E-2</v>
      </c>
      <c r="F57" s="67">
        <f t="shared" si="50"/>
        <v>225506.13431074703</v>
      </c>
      <c r="G57" s="67">
        <f>EDisponible!B70</f>
        <v>0.79061694880731059</v>
      </c>
      <c r="H57" s="67">
        <f t="shared" si="74"/>
        <v>-9.3830511926894511E-3</v>
      </c>
      <c r="I57" s="67">
        <f>IF(H57&lt;0, 0, 0.00035*(10*H57/((1/COS(M$1))-0.8))^(3/(1+1/(DATOS!E$6))))</f>
        <v>0</v>
      </c>
      <c r="J57" s="67">
        <f t="shared" si="75"/>
        <v>225506.13431074703</v>
      </c>
      <c r="K57" s="67">
        <f t="shared" si="76"/>
        <v>27802628.387820929</v>
      </c>
      <c r="L57" s="11">
        <f t="shared" si="51"/>
        <v>0.13764104769592</v>
      </c>
      <c r="M57" s="67">
        <f t="shared" si="52"/>
        <v>1.4315450170038387E-2</v>
      </c>
      <c r="N57" s="67">
        <f t="shared" si="53"/>
        <v>199003.57064097261</v>
      </c>
      <c r="O57" s="67">
        <f>EDisponible!C70</f>
        <v>0.8043421298053075</v>
      </c>
      <c r="P57" s="67">
        <f t="shared" si="77"/>
        <v>4.3421298053074597E-3</v>
      </c>
      <c r="Q57" s="67">
        <f>IF(P57&lt;0, 0, 0.00035*(10*P57/((1/COS(M$1))-0.8))^(3/(1+1/(DATOS!E$6))))</f>
        <v>5.6901240188425992E-6</v>
      </c>
      <c r="R57" s="67">
        <f t="shared" si="78"/>
        <v>199082.67084276085</v>
      </c>
      <c r="S57" s="67">
        <f t="shared" si="79"/>
        <v>23892841.441780977</v>
      </c>
      <c r="T57" s="67">
        <f t="shared" si="54"/>
        <v>0.16016441197773049</v>
      </c>
      <c r="U57" s="67">
        <f t="shared" si="55"/>
        <v>1.4736722535381131E-2</v>
      </c>
      <c r="V57" s="67">
        <f t="shared" si="56"/>
        <v>176051.08745469095</v>
      </c>
      <c r="W57" s="67">
        <f>EDisponible!D70</f>
        <v>0.81880787288508705</v>
      </c>
      <c r="X57" s="67">
        <f t="shared" si="80"/>
        <v>1.8807872885087007E-2</v>
      </c>
      <c r="Y57" s="67">
        <f>IF(X57&lt;0, 0, 0.00035*(10*X57/((1/COS(M$1))-0.8))^(3/(1+1/(DATOS!E$6))))</f>
        <v>2.6313100840037447E-4</v>
      </c>
      <c r="Z57" s="67">
        <f t="shared" si="81"/>
        <v>179194.56118575399</v>
      </c>
      <c r="AA57" s="67">
        <f t="shared" si="82"/>
        <v>20418283.094757427</v>
      </c>
      <c r="AB57" s="67">
        <f t="shared" si="57"/>
        <v>0.18741942612121781</v>
      </c>
      <c r="AC57" s="67">
        <f t="shared" si="58"/>
        <v>1.5331703458313382E-2</v>
      </c>
      <c r="AD57" s="67">
        <f t="shared" si="83"/>
        <v>156523.53076835704</v>
      </c>
      <c r="AE57" s="67">
        <f>EDisponible!E70</f>
        <v>0.83408326382824283</v>
      </c>
      <c r="AF57" s="67">
        <f t="shared" si="84"/>
        <v>3.4083263828242782E-2</v>
      </c>
      <c r="AG57" s="67">
        <f>IF(AF57&lt;0, 0, 0.00035*(10*AF57/((1/COS(M$1))-0.8))^(3/(1+1/(DATOS!E$6))))</f>
        <v>1.245857149677063E-3</v>
      </c>
      <c r="AH57" s="67">
        <f t="shared" si="85"/>
        <v>169242.66275722397</v>
      </c>
      <c r="AI57" s="67">
        <f t="shared" si="86"/>
        <v>17344177.120430484</v>
      </c>
      <c r="AJ57" s="67">
        <f t="shared" si="59"/>
        <v>0.22063790478086512</v>
      </c>
      <c r="AK57" s="67">
        <f t="shared" si="60"/>
        <v>1.6183033537352304E-2</v>
      </c>
      <c r="AL57" s="67">
        <f t="shared" si="61"/>
        <v>140340.70000885252</v>
      </c>
      <c r="AM57" s="67">
        <f>EDisponible!F70</f>
        <v>0.85024676159746715</v>
      </c>
      <c r="AN57" s="67">
        <f t="shared" si="87"/>
        <v>5.0246761597467104E-2</v>
      </c>
      <c r="AO57" s="67">
        <f>IF(AN57&lt;0, 0, 0.00035*(10*AN57/((1/COS(M$1))-0.8))^(3/(1+1/(DATOS!E$6))))</f>
        <v>3.4382347615542824E-3</v>
      </c>
      <c r="AP57" s="67">
        <f t="shared" si="88"/>
        <v>170157.37635186181</v>
      </c>
      <c r="AQ57" s="67">
        <f t="shared" si="89"/>
        <v>14637352.072837422</v>
      </c>
      <c r="AR57" s="67">
        <f t="shared" si="62"/>
        <v>0.26143956099145643</v>
      </c>
      <c r="AS57" s="67">
        <f t="shared" si="63"/>
        <v>1.7418388255695388E-2</v>
      </c>
      <c r="AT57" s="67">
        <f t="shared" si="64"/>
        <v>127479.54071999494</v>
      </c>
      <c r="AU57" s="67">
        <f>EDisponible!G70</f>
        <v>0.86738789943410433</v>
      </c>
      <c r="AV57" s="67">
        <f t="shared" si="90"/>
        <v>6.7387899434104281E-2</v>
      </c>
      <c r="AW57" s="67">
        <f>IF(AV57&lt;0, 0, 0.00035*(10*AV57/((1/COS(M$1))-0.8))^(3/(1+1/(DATOS!E$6))))</f>
        <v>7.4084721564541467E-3</v>
      </c>
      <c r="AX57" s="67">
        <f t="shared" si="65"/>
        <v>181699.74835791116</v>
      </c>
      <c r="AY57" s="67">
        <f t="shared" si="91"/>
        <v>12266225.606850745</v>
      </c>
      <c r="AZ57" s="67">
        <f t="shared" si="66"/>
        <v>0.31197721472387757</v>
      </c>
      <c r="BA57" s="67">
        <f t="shared" si="67"/>
        <v>1.9238434926716258E-2</v>
      </c>
      <c r="BB57" s="67">
        <f t="shared" si="68"/>
        <v>117991.49156690935</v>
      </c>
      <c r="BC57" s="67">
        <f>EDisponible!H70</f>
        <v>0.88560937917210003</v>
      </c>
      <c r="BD57" s="67">
        <f t="shared" si="92"/>
        <v>8.5609379172099986E-2</v>
      </c>
      <c r="BE57" s="67">
        <f>IF(BD57&lt;0, 0, 0.00035*(10*BD57/((1/COS(M$1))-0.8))^(3/(1+1/(DATOS!E$6))))</f>
        <v>1.3853842160592085E-2</v>
      </c>
      <c r="BF57" s="67">
        <f t="shared" si="69"/>
        <v>202958.66829867091</v>
      </c>
      <c r="BG57" s="67">
        <f t="shared" si="93"/>
        <v>10200788.335440945</v>
      </c>
      <c r="BH57" s="67">
        <f t="shared" si="70"/>
        <v>0.37514579992847014</v>
      </c>
      <c r="BI57" s="67">
        <f t="shared" si="71"/>
        <v>2.1964477914039805E-2</v>
      </c>
      <c r="BJ57" s="67">
        <f t="shared" si="72"/>
        <v>112027.49504979375</v>
      </c>
      <c r="BK57" s="67">
        <f>EDisponible!I70</f>
        <v>0.90502967090989961</v>
      </c>
      <c r="BL57" s="67">
        <f t="shared" si="94"/>
        <v>0.10502967090989956</v>
      </c>
      <c r="BM57" s="67">
        <f>IF(BL57&lt;0, 0, 0.00035*(10*BL57/((1/COS(M$1))-0.8))^(3/(1+1/(DATOS!E$6))))</f>
        <v>2.3647865895431792E-2</v>
      </c>
      <c r="BN57" s="67">
        <f t="shared" si="73"/>
        <v>232640.93234188994</v>
      </c>
    </row>
    <row r="58" spans="1:66">
      <c r="A58" s="41">
        <f>EDisponible!A71</f>
        <v>275</v>
      </c>
      <c r="B58" s="44"/>
      <c r="C58" s="67">
        <f t="shared" si="48"/>
        <v>33387078.725063294</v>
      </c>
      <c r="D58" s="67">
        <f t="shared" si="1"/>
        <v>0.11461868022395379</v>
      </c>
      <c r="E58" s="67">
        <f t="shared" si="49"/>
        <v>1.3950700456553984E-2</v>
      </c>
      <c r="F58" s="67">
        <f t="shared" si="50"/>
        <v>232886.56720637216</v>
      </c>
      <c r="G58" s="67">
        <f>EDisponible!B71</f>
        <v>0.80525800341485332</v>
      </c>
      <c r="H58" s="67">
        <f t="shared" si="74"/>
        <v>5.2580034148532739E-3</v>
      </c>
      <c r="I58" s="67">
        <f>IF(H58&lt;0, 0, 0.00035*(10*H58/((1/COS(M$1))-0.8))^(3/(1+1/(DATOS!E$6))))</f>
        <v>9.3865809869489237E-6</v>
      </c>
      <c r="J58" s="67">
        <f t="shared" si="75"/>
        <v>233043.26246555737</v>
      </c>
      <c r="K58" s="67">
        <f t="shared" si="76"/>
        <v>28841889.874196954</v>
      </c>
      <c r="L58" s="11">
        <f t="shared" si="51"/>
        <v>0.13268141986158768</v>
      </c>
      <c r="M58" s="67">
        <f t="shared" si="52"/>
        <v>1.4231247030112786E-2</v>
      </c>
      <c r="N58" s="67">
        <f t="shared" si="53"/>
        <v>205228.02980750272</v>
      </c>
      <c r="O58" s="67">
        <f>EDisponible!C71</f>
        <v>0.81923735443133172</v>
      </c>
      <c r="P58" s="67">
        <f t="shared" si="77"/>
        <v>1.9237354431331677E-2</v>
      </c>
      <c r="Q58" s="67">
        <f>IF(P58&lt;0, 0, 0.00035*(10*P58/((1/COS(M$1))-0.8))^(3/(1+1/(DATOS!E$6))))</f>
        <v>2.7913713531220257E-4</v>
      </c>
      <c r="R58" s="67">
        <f t="shared" si="78"/>
        <v>209253.45106573941</v>
      </c>
      <c r="S58" s="67">
        <f t="shared" si="79"/>
        <v>24785955.199378416</v>
      </c>
      <c r="T58" s="67">
        <f t="shared" si="54"/>
        <v>0.15439319845522712</v>
      </c>
      <c r="U58" s="67">
        <f t="shared" si="55"/>
        <v>1.4622706904576205E-2</v>
      </c>
      <c r="V58" s="67">
        <f t="shared" si="56"/>
        <v>181218.87911523363</v>
      </c>
      <c r="W58" s="67">
        <f>EDisponible!D71</f>
        <v>0.83397098164221828</v>
      </c>
      <c r="X58" s="67">
        <f t="shared" si="80"/>
        <v>3.3970981642218234E-2</v>
      </c>
      <c r="Y58" s="67">
        <f>IF(X58&lt;0, 0, 0.00035*(10*X58/((1/COS(M$1))-0.8))^(3/(1+1/(DATOS!E$6))))</f>
        <v>1.2351513981397699E-3</v>
      </c>
      <c r="Z58" s="67">
        <f t="shared" si="81"/>
        <v>196526.08272460461</v>
      </c>
      <c r="AA58" s="67">
        <f t="shared" si="82"/>
        <v>21181517.956667081</v>
      </c>
      <c r="AB58" s="67">
        <f t="shared" si="57"/>
        <v>0.18066613109734586</v>
      </c>
      <c r="AC58" s="67">
        <f t="shared" si="58"/>
        <v>1.5175582375554924E-2</v>
      </c>
      <c r="AD58" s="67">
        <f t="shared" si="83"/>
        <v>160720.93529534855</v>
      </c>
      <c r="AE58" s="67">
        <f>EDisponible!E71</f>
        <v>0.84952925019543257</v>
      </c>
      <c r="AF58" s="67">
        <f t="shared" si="84"/>
        <v>4.9529250195432528E-2</v>
      </c>
      <c r="AG58" s="67">
        <f>IF(AF58&lt;0, 0, 0.00035*(10*AF58/((1/COS(M$1))-0.8))^(3/(1+1/(DATOS!E$6))))</f>
        <v>3.3113035060308316E-3</v>
      </c>
      <c r="AH58" s="67">
        <f t="shared" si="85"/>
        <v>195790.15263183194</v>
      </c>
      <c r="AI58" s="67">
        <f t="shared" si="86"/>
        <v>17992501.985357411</v>
      </c>
      <c r="AJ58" s="67">
        <f t="shared" si="59"/>
        <v>0.2126876463937199</v>
      </c>
      <c r="AK58" s="67">
        <f t="shared" si="60"/>
        <v>1.5966665753635916E-2</v>
      </c>
      <c r="AL58" s="67">
        <f t="shared" si="61"/>
        <v>143640.1326359162</v>
      </c>
      <c r="AM58" s="67">
        <f>EDisponible!F71</f>
        <v>0.86599207199742023</v>
      </c>
      <c r="AN58" s="67">
        <f t="shared" si="87"/>
        <v>6.5992071997420187E-2</v>
      </c>
      <c r="AO58" s="67">
        <f>IF(AN58&lt;0, 0, 0.00035*(10*AN58/((1/COS(M$1))-0.8))^(3/(1+1/(DATOS!E$6))))</f>
        <v>7.0138165473956418E-3</v>
      </c>
      <c r="AP58" s="67">
        <f t="shared" si="88"/>
        <v>206738.18671289057</v>
      </c>
      <c r="AQ58" s="67">
        <f t="shared" si="89"/>
        <v>15184495.89174664</v>
      </c>
      <c r="AR58" s="67">
        <f t="shared" si="62"/>
        <v>0.25201909416564855</v>
      </c>
      <c r="AS58" s="67">
        <f t="shared" si="63"/>
        <v>1.7114597217326697E-2</v>
      </c>
      <c r="AT58" s="67">
        <f t="shared" si="64"/>
        <v>129938.26556769786</v>
      </c>
      <c r="AU58" s="67">
        <f>EDisponible!G71</f>
        <v>0.88345063831251369</v>
      </c>
      <c r="AV58" s="67">
        <f t="shared" si="90"/>
        <v>8.3450638312513647E-2</v>
      </c>
      <c r="AW58" s="67">
        <f>IF(AV58&lt;0, 0, 0.00035*(10*AV58/((1/COS(M$1))-0.8))^(3/(1+1/(DATOS!E$6))))</f>
        <v>1.29586933761197E-2</v>
      </c>
      <c r="AX58" s="67">
        <f t="shared" si="65"/>
        <v>228323.87873374487</v>
      </c>
      <c r="AY58" s="67">
        <f t="shared" si="91"/>
        <v>12724736.783512861</v>
      </c>
      <c r="AZ58" s="67">
        <f t="shared" si="66"/>
        <v>0.30073572169746349</v>
      </c>
      <c r="BA58" s="67">
        <f t="shared" si="67"/>
        <v>1.8805843308856405E-2</v>
      </c>
      <c r="BB58" s="67">
        <f t="shared" si="68"/>
        <v>119649.70304859216</v>
      </c>
      <c r="BC58" s="67">
        <f>EDisponible!H71</f>
        <v>0.90200955286047224</v>
      </c>
      <c r="BD58" s="67">
        <f t="shared" si="92"/>
        <v>0.1020095528604722</v>
      </c>
      <c r="BE58" s="67">
        <f>IF(BD58&lt;0, 0, 0.00035*(10*BD58/((1/COS(M$1))-0.8))^(3/(1+1/(DATOS!E$6))))</f>
        <v>2.1910485196719405E-2</v>
      </c>
      <c r="BF58" s="67">
        <f t="shared" si="69"/>
        <v>259052.28151224687</v>
      </c>
      <c r="BG58" s="67">
        <f t="shared" si="93"/>
        <v>10582093.523562709</v>
      </c>
      <c r="BH58" s="67">
        <f t="shared" si="70"/>
        <v>0.36162814961699796</v>
      </c>
      <c r="BI58" s="67">
        <f t="shared" si="71"/>
        <v>2.1338970409969103E-2</v>
      </c>
      <c r="BJ58" s="67">
        <f t="shared" si="72"/>
        <v>112905.49028741516</v>
      </c>
      <c r="BK58" s="67">
        <f>EDisponible!I71</f>
        <v>0.92178947963045332</v>
      </c>
      <c r="BL58" s="67">
        <f t="shared" si="94"/>
        <v>0.12178947963045328</v>
      </c>
      <c r="BM58" s="67">
        <f>IF(BL58&lt;0, 0, 0.00035*(10*BL58/((1/COS(M$1))-0.8))^(3/(1+1/(DATOS!E$6))))</f>
        <v>3.4830150638069983E-2</v>
      </c>
      <c r="BN58" s="67">
        <f t="shared" si="73"/>
        <v>297193.44603333215</v>
      </c>
    </row>
    <row r="59" spans="1:66">
      <c r="A59" s="41">
        <f>EDisponible!A72</f>
        <v>280</v>
      </c>
      <c r="B59" s="44"/>
      <c r="C59" s="67">
        <f t="shared" si="48"/>
        <v>34612191.365883805</v>
      </c>
      <c r="D59" s="67">
        <f t="shared" si="1"/>
        <v>0.11056170525429214</v>
      </c>
      <c r="E59" s="67">
        <f t="shared" si="49"/>
        <v>1.3893324499699643E-2</v>
      </c>
      <c r="F59" s="67">
        <f t="shared" si="50"/>
        <v>240439.20314596297</v>
      </c>
      <c r="G59" s="67">
        <f>EDisponible!B72</f>
        <v>0.81989905802239615</v>
      </c>
      <c r="H59" s="67">
        <f t="shared" si="74"/>
        <v>1.989905802239611E-2</v>
      </c>
      <c r="I59" s="67">
        <f>IF(H59&lt;0, 0, 0.00035*(10*H59/((1/COS(M$1))-0.8))^(3/(1+1/(DATOS!E$6))))</f>
        <v>3.0495111128845244E-4</v>
      </c>
      <c r="J59" s="67">
        <f t="shared" si="75"/>
        <v>245716.71625654039</v>
      </c>
      <c r="K59" s="67">
        <f t="shared" si="76"/>
        <v>29900220.37867162</v>
      </c>
      <c r="L59" s="11">
        <f t="shared" si="51"/>
        <v>0.12798510684990522</v>
      </c>
      <c r="M59" s="67">
        <f t="shared" si="52"/>
        <v>1.4154362430842379E-2</v>
      </c>
      <c r="N59" s="67">
        <f t="shared" si="53"/>
        <v>211609.27800088865</v>
      </c>
      <c r="O59" s="67">
        <f>EDisponible!C72</f>
        <v>0.83413257905735594</v>
      </c>
      <c r="P59" s="67">
        <f t="shared" si="77"/>
        <v>3.4132579057355894E-2</v>
      </c>
      <c r="Q59" s="67">
        <f>IF(P59&lt;0, 0, 0.00035*(10*P59/((1/COS(M$1))-0.8))^(3/(1+1/(DATOS!E$6))))</f>
        <v>1.2505772484453677E-3</v>
      </c>
      <c r="R59" s="67">
        <f t="shared" si="78"/>
        <v>230305.54566542327</v>
      </c>
      <c r="S59" s="67">
        <f t="shared" si="79"/>
        <v>25695456.36537214</v>
      </c>
      <c r="T59" s="67">
        <f t="shared" si="54"/>
        <v>0.14892838817827231</v>
      </c>
      <c r="U59" s="67">
        <f t="shared" si="55"/>
        <v>1.4518600975833584E-2</v>
      </c>
      <c r="V59" s="67">
        <f t="shared" si="56"/>
        <v>186531.03893039061</v>
      </c>
      <c r="W59" s="67">
        <f>EDisponible!D72</f>
        <v>0.84913409039934951</v>
      </c>
      <c r="X59" s="67">
        <f t="shared" si="80"/>
        <v>4.9134090399349462E-2</v>
      </c>
      <c r="Y59" s="67">
        <f>IF(X59&lt;0, 0, 0.00035*(10*X59/((1/COS(M$1))-0.8))^(3/(1+1/(DATOS!E$6))))</f>
        <v>3.2426531952759997E-3</v>
      </c>
      <c r="Z59" s="67">
        <f t="shared" si="81"/>
        <v>228191.7657740151</v>
      </c>
      <c r="AA59" s="67">
        <f t="shared" si="82"/>
        <v>21958757.127969578</v>
      </c>
      <c r="AB59" s="67">
        <f t="shared" si="57"/>
        <v>0.1742713796458773</v>
      </c>
      <c r="AC59" s="67">
        <f t="shared" si="58"/>
        <v>1.5033030602590728E-2</v>
      </c>
      <c r="AD59" s="67">
        <f t="shared" si="83"/>
        <v>165053.33394981199</v>
      </c>
      <c r="AE59" s="67">
        <f>EDisponible!E72</f>
        <v>0.86497523656262221</v>
      </c>
      <c r="AF59" s="67">
        <f t="shared" si="84"/>
        <v>6.4975236562622163E-2</v>
      </c>
      <c r="AG59" s="67">
        <f>IF(AF59&lt;0, 0, 0.00035*(10*AF59/((1/COS(M$1))-0.8))^(3/(1+1/(DATOS!E$6))))</f>
        <v>6.7346731463343214E-3</v>
      </c>
      <c r="AH59" s="67">
        <f t="shared" si="85"/>
        <v>238995.85992811903</v>
      </c>
      <c r="AI59" s="67">
        <f t="shared" si="86"/>
        <v>18652722.719365567</v>
      </c>
      <c r="AJ59" s="67">
        <f t="shared" si="59"/>
        <v>0.20515948033832995</v>
      </c>
      <c r="AK59" s="67">
        <f t="shared" si="60"/>
        <v>1.5769103639434952E-2</v>
      </c>
      <c r="AL59" s="67">
        <f t="shared" si="61"/>
        <v>147068.35885965929</v>
      </c>
      <c r="AM59" s="67">
        <f>EDisponible!F72</f>
        <v>0.88173738239737331</v>
      </c>
      <c r="AN59" s="67">
        <f t="shared" si="87"/>
        <v>8.173738239737327E-2</v>
      </c>
      <c r="AO59" s="67">
        <f>IF(AN59&lt;0, 0, 0.00035*(10*AN59/((1/COS(M$1))-0.8))^(3/(1+1/(DATOS!E$6))))</f>
        <v>1.2274374718749145E-2</v>
      </c>
      <c r="AP59" s="67">
        <f t="shared" si="88"/>
        <v>261543.61295086856</v>
      </c>
      <c r="AQ59" s="67">
        <f t="shared" si="89"/>
        <v>15741679.04678263</v>
      </c>
      <c r="AR59" s="67">
        <f t="shared" si="62"/>
        <v>0.2430987754627191</v>
      </c>
      <c r="AS59" s="67">
        <f t="shared" si="63"/>
        <v>1.683721026634654E-2</v>
      </c>
      <c r="AT59" s="67">
        <f t="shared" si="64"/>
        <v>132522.98002801035</v>
      </c>
      <c r="AU59" s="67">
        <f>EDisponible!G72</f>
        <v>0.89951337719092295</v>
      </c>
      <c r="AV59" s="67">
        <f t="shared" si="90"/>
        <v>9.9513377190922903E-2</v>
      </c>
      <c r="AW59" s="67">
        <f>IF(AV59&lt;0, 0, 0.00035*(10*AV59/((1/COS(M$1))-0.8))^(3/(1+1/(DATOS!E$6))))</f>
        <v>2.0535821523268671E-2</v>
      </c>
      <c r="AX59" s="67">
        <f t="shared" si="65"/>
        <v>294157.1357186634</v>
      </c>
      <c r="AY59" s="67">
        <f t="shared" si="91"/>
        <v>13191661.009288045</v>
      </c>
      <c r="AZ59" s="67">
        <f t="shared" si="66"/>
        <v>0.29009105807870755</v>
      </c>
      <c r="BA59" s="67">
        <f t="shared" si="67"/>
        <v>1.8410850518607965E-2</v>
      </c>
      <c r="BB59" s="67">
        <f t="shared" si="68"/>
        <v>121434.84946707563</v>
      </c>
      <c r="BC59" s="67">
        <f>EDisponible!H72</f>
        <v>0.91840972654884445</v>
      </c>
      <c r="BD59" s="67">
        <f t="shared" si="92"/>
        <v>0.11840972654884441</v>
      </c>
      <c r="BE59" s="67">
        <f>IF(BD59&lt;0, 0, 0.00035*(10*BD59/((1/COS(M$1))-0.8))^(3/(1+1/(DATOS!E$6))))</f>
        <v>3.2358552385589691E-2</v>
      </c>
      <c r="BF59" s="67">
        <f t="shared" si="69"/>
        <v>334866.37637806969</v>
      </c>
      <c r="BG59" s="67">
        <f t="shared" si="93"/>
        <v>10970395.137154598</v>
      </c>
      <c r="BH59" s="67">
        <f t="shared" si="70"/>
        <v>0.34882817365797791</v>
      </c>
      <c r="BI59" s="67">
        <f t="shared" si="71"/>
        <v>2.0767829074460689E-2</v>
      </c>
      <c r="BJ59" s="67">
        <f t="shared" si="72"/>
        <v>113915.64554386071</v>
      </c>
      <c r="BK59" s="67">
        <f>EDisponible!I72</f>
        <v>0.93854928835100704</v>
      </c>
      <c r="BL59" s="67">
        <f t="shared" si="94"/>
        <v>0.13854928835100699</v>
      </c>
      <c r="BM59" s="67">
        <f>IF(BL59&lt;0, 0, 0.00035*(10*BL59/((1/COS(M$1))-0.8))^(3/(1+1/(DATOS!E$6))))</f>
        <v>4.8798061583446115E-2</v>
      </c>
      <c r="BN59" s="67">
        <f t="shared" si="73"/>
        <v>381582.65429266461</v>
      </c>
    </row>
    <row r="60" spans="1:66">
      <c r="A60" s="41">
        <f>EDisponible!A73</f>
        <v>285</v>
      </c>
      <c r="B60" s="44"/>
      <c r="C60" s="67">
        <f t="shared" si="48"/>
        <v>35859378.10834071</v>
      </c>
      <c r="D60" s="67">
        <f t="shared" si="1"/>
        <v>0.10671637663202838</v>
      </c>
      <c r="E60" s="67">
        <f t="shared" si="49"/>
        <v>1.3840850226254094E-2</v>
      </c>
      <c r="F60" s="67">
        <f t="shared" si="50"/>
        <v>248162.14080207932</v>
      </c>
      <c r="G60" s="67">
        <f>EDisponible!B73</f>
        <v>0.83454011262993899</v>
      </c>
      <c r="H60" s="67">
        <f t="shared" si="74"/>
        <v>3.4540112629938946E-2</v>
      </c>
      <c r="I60" s="67">
        <f>IF(H60&lt;0, 0, 0.00035*(10*H60/((1/COS(M$1))-0.8))^(3/(1+1/(DATOS!E$6))))</f>
        <v>1.2900065087268807E-3</v>
      </c>
      <c r="J60" s="67">
        <f t="shared" si="75"/>
        <v>271291.55638140818</v>
      </c>
      <c r="K60" s="67">
        <f t="shared" si="76"/>
        <v>30977619.901244923</v>
      </c>
      <c r="L60" s="11">
        <f t="shared" si="51"/>
        <v>0.1235337934999393</v>
      </c>
      <c r="M60" s="67">
        <f t="shared" si="52"/>
        <v>1.4084046157144165E-2</v>
      </c>
      <c r="N60" s="67">
        <f t="shared" si="53"/>
        <v>218145.11426380058</v>
      </c>
      <c r="O60" s="67">
        <f>EDisponible!C73</f>
        <v>0.84902780368338016</v>
      </c>
      <c r="P60" s="67">
        <f t="shared" si="77"/>
        <v>4.9027803683380111E-2</v>
      </c>
      <c r="Q60" s="67">
        <f>IF(P60&lt;0, 0, 0.00035*(10*P60/((1/COS(M$1))-0.8))^(3/(1+1/(DATOS!E$6))))</f>
        <v>3.2243396253473365E-3</v>
      </c>
      <c r="R60" s="67">
        <f t="shared" si="78"/>
        <v>268086.2979370667</v>
      </c>
      <c r="S60" s="67">
        <f t="shared" si="79"/>
        <v>26621344.939762145</v>
      </c>
      <c r="T60" s="67">
        <f t="shared" si="54"/>
        <v>0.14374866892184118</v>
      </c>
      <c r="U60" s="67">
        <f t="shared" si="55"/>
        <v>1.4423388917130813E-2</v>
      </c>
      <c r="V60" s="67">
        <f t="shared" si="56"/>
        <v>191985.00578164088</v>
      </c>
      <c r="W60" s="67">
        <f>EDisponible!D73</f>
        <v>0.86429719915648073</v>
      </c>
      <c r="X60" s="67">
        <f t="shared" si="80"/>
        <v>6.4297199156480689E-2</v>
      </c>
      <c r="Y60" s="67">
        <f>IF(X60&lt;0, 0, 0.00035*(10*X60/((1/COS(M$1))-0.8))^(3/(1+1/(DATOS!E$6))))</f>
        <v>6.5524138011723654E-3</v>
      </c>
      <c r="Z60" s="67">
        <f t="shared" si="81"/>
        <v>279202.0397761747</v>
      </c>
      <c r="AA60" s="67">
        <f t="shared" si="82"/>
        <v>22750000.608664911</v>
      </c>
      <c r="AB60" s="67">
        <f t="shared" si="57"/>
        <v>0.16821023286225645</v>
      </c>
      <c r="AC60" s="67">
        <f t="shared" si="58"/>
        <v>1.4902657165269917E-2</v>
      </c>
      <c r="AD60" s="67">
        <f t="shared" si="83"/>
        <v>169517.72979030755</v>
      </c>
      <c r="AE60" s="67">
        <f>EDisponible!E73</f>
        <v>0.88042122292981195</v>
      </c>
      <c r="AF60" s="67">
        <f t="shared" si="84"/>
        <v>8.0421222929811909E-2</v>
      </c>
      <c r="AG60" s="67">
        <f>IF(AF60&lt;0, 0, 0.00035*(10*AF60/((1/COS(M$1))-0.8))^(3/(1+1/(DATOS!E$6))))</f>
        <v>1.1764156097525324E-2</v>
      </c>
      <c r="AH60" s="67">
        <f t="shared" si="85"/>
        <v>303335.00897987263</v>
      </c>
      <c r="AI60" s="67">
        <f t="shared" si="86"/>
        <v>19324839.322454952</v>
      </c>
      <c r="AJ60" s="67">
        <f t="shared" si="59"/>
        <v>0.19802404750415595</v>
      </c>
      <c r="AK60" s="67">
        <f t="shared" si="60"/>
        <v>1.5588419447459201E-2</v>
      </c>
      <c r="AL60" s="67">
        <f t="shared" si="61"/>
        <v>150621.85055659054</v>
      </c>
      <c r="AM60" s="67">
        <f>EDisponible!F73</f>
        <v>0.8974826927973264</v>
      </c>
      <c r="AN60" s="67">
        <f t="shared" si="87"/>
        <v>9.7482692797326354E-2</v>
      </c>
      <c r="AO60" s="67">
        <f>IF(AN60&lt;0, 0, 0.00035*(10*AN60/((1/COS(M$1))-0.8))^(3/(1+1/(DATOS!E$6))))</f>
        <v>1.9457814728062614E-2</v>
      </c>
      <c r="AP60" s="67">
        <f t="shared" si="88"/>
        <v>338631.42214954429</v>
      </c>
      <c r="AQ60" s="67">
        <f t="shared" si="89"/>
        <v>16308901.537945399</v>
      </c>
      <c r="AR60" s="67">
        <f t="shared" si="62"/>
        <v>0.2346438165131077</v>
      </c>
      <c r="AS60" s="67">
        <f t="shared" si="63"/>
        <v>1.658352075049389E-2</v>
      </c>
      <c r="AT60" s="67">
        <f t="shared" si="64"/>
        <v>135229.50353613961</v>
      </c>
      <c r="AU60" s="67">
        <f>EDisponible!G73</f>
        <v>0.91557611606933231</v>
      </c>
      <c r="AV60" s="67">
        <f t="shared" si="90"/>
        <v>0.11557611606933227</v>
      </c>
      <c r="AW60" s="67">
        <f>IF(AV60&lt;0, 0, 0.00035*(10*AV60/((1/COS(M$1))-0.8))^(3/(1+1/(DATOS!E$6))))</f>
        <v>3.0372260458432766E-2</v>
      </c>
      <c r="AX60" s="67">
        <f t="shared" si="65"/>
        <v>382898.60618684581</v>
      </c>
      <c r="AY60" s="67">
        <f t="shared" si="91"/>
        <v>13666998.284176296</v>
      </c>
      <c r="AZ60" s="67">
        <f t="shared" si="66"/>
        <v>0.28000171072170726</v>
      </c>
      <c r="BA60" s="67">
        <f t="shared" si="67"/>
        <v>1.8049602343921552E-2</v>
      </c>
      <c r="BB60" s="67">
        <f t="shared" si="68"/>
        <v>123341.94213222015</v>
      </c>
      <c r="BC60" s="67">
        <f>EDisponible!H73</f>
        <v>0.93480990023721666</v>
      </c>
      <c r="BD60" s="67">
        <f t="shared" si="92"/>
        <v>0.13480990023721662</v>
      </c>
      <c r="BE60" s="67">
        <f>IF(BD60&lt;0, 0, 0.00035*(10*BD60/((1/COS(M$1))-0.8))^(3/(1+1/(DATOS!E$6))))</f>
        <v>4.5428168862627114E-2</v>
      </c>
      <c r="BF60" s="67">
        <f t="shared" si="69"/>
        <v>433775.29508161807</v>
      </c>
      <c r="BG60" s="67">
        <f t="shared" si="93"/>
        <v>11365693.176216608</v>
      </c>
      <c r="BH60" s="67">
        <f t="shared" si="70"/>
        <v>0.3366959533984053</v>
      </c>
      <c r="BI60" s="67">
        <f t="shared" si="71"/>
        <v>2.0245480894863277E-2</v>
      </c>
      <c r="BJ60" s="67">
        <f t="shared" si="72"/>
        <v>115051.96202798563</v>
      </c>
      <c r="BK60" s="67">
        <f>EDisponible!I73</f>
        <v>0.95530909707156064</v>
      </c>
      <c r="BL60" s="67">
        <f t="shared" si="94"/>
        <v>0.1553090970715606</v>
      </c>
      <c r="BM60" s="67">
        <f>IF(BL60&lt;0, 0, 0.00035*(10*BL60/((1/COS(M$1))-0.8))^(3/(1+1/(DATOS!E$6))))</f>
        <v>6.5781880110931418E-2</v>
      </c>
      <c r="BN60" s="67">
        <f t="shared" si="73"/>
        <v>488880.29497574171</v>
      </c>
    </row>
    <row r="61" spans="1:66">
      <c r="A61" s="41">
        <f>EDisponible!A74</f>
        <v>290</v>
      </c>
      <c r="B61" s="44"/>
      <c r="C61" s="67">
        <f t="shared" si="48"/>
        <v>37128638.952434026</v>
      </c>
      <c r="D61" s="67">
        <f t="shared" si="1"/>
        <v>0.10306822463658151</v>
      </c>
      <c r="E61" s="67">
        <f t="shared" si="49"/>
        <v>1.3792783606052664E-2</v>
      </c>
      <c r="F61" s="67">
        <f t="shared" si="50"/>
        <v>256053.6413290902</v>
      </c>
      <c r="G61" s="67">
        <f>EDisponible!B74</f>
        <v>0.84918116723748172</v>
      </c>
      <c r="H61" s="67">
        <f t="shared" si="74"/>
        <v>4.9181167237481671E-2</v>
      </c>
      <c r="I61" s="67">
        <f>IF(H61&lt;0, 0, 0.00035*(10*H61/((1/COS(M$1))-0.8))^(3/(1+1/(DATOS!E$6))))</f>
        <v>3.2507851782118181E-3</v>
      </c>
      <c r="J61" s="67">
        <f t="shared" si="75"/>
        <v>316402.25592596544</v>
      </c>
      <c r="K61" s="67">
        <f t="shared" si="76"/>
        <v>32074088.441916872</v>
      </c>
      <c r="L61" s="11">
        <f t="shared" si="51"/>
        <v>0.11931072981013757</v>
      </c>
      <c r="M61" s="67">
        <f t="shared" si="52"/>
        <v>1.4019636201562045E-2</v>
      </c>
      <c r="N61" s="67">
        <f t="shared" si="53"/>
        <v>224833.52572620029</v>
      </c>
      <c r="O61" s="67">
        <f>EDisponible!C74</f>
        <v>0.86392302830940437</v>
      </c>
      <c r="P61" s="67">
        <f t="shared" si="77"/>
        <v>6.3923028309404328E-2</v>
      </c>
      <c r="Q61" s="67">
        <f>IF(P61&lt;0, 0, 0.00035*(10*P61/((1/COS(M$1))-0.8))^(3/(1+1/(DATOS!E$6))))</f>
        <v>6.4531545249309945E-3</v>
      </c>
      <c r="R61" s="67">
        <f t="shared" si="78"/>
        <v>328323.05020719668</v>
      </c>
      <c r="S61" s="67">
        <f t="shared" si="79"/>
        <v>27563620.922548432</v>
      </c>
      <c r="T61" s="67">
        <f t="shared" si="54"/>
        <v>0.13883454974050594</v>
      </c>
      <c r="U61" s="67">
        <f t="shared" si="55"/>
        <v>1.4336174334369392E-2</v>
      </c>
      <c r="V61" s="67">
        <f t="shared" si="56"/>
        <v>197578.43741606301</v>
      </c>
      <c r="W61" s="67">
        <f>EDisponible!D74</f>
        <v>0.87946030791361196</v>
      </c>
      <c r="X61" s="67">
        <f t="shared" si="80"/>
        <v>7.9460307913611916E-2</v>
      </c>
      <c r="Y61" s="67">
        <f>IF(X61&lt;0, 0, 0.00035*(10*X61/((1/COS(M$1))-0.8))^(3/(1+1/(DATOS!E$6))))</f>
        <v>1.1400065536577988E-2</v>
      </c>
      <c r="Z61" s="67">
        <f t="shared" si="81"/>
        <v>354691.97988728515</v>
      </c>
      <c r="AA61" s="67">
        <f t="shared" si="82"/>
        <v>23555248.398753081</v>
      </c>
      <c r="AB61" s="67">
        <f t="shared" si="57"/>
        <v>0.16245988304681069</v>
      </c>
      <c r="AC61" s="67">
        <f t="shared" si="58"/>
        <v>1.4783234635245621E-2</v>
      </c>
      <c r="AD61" s="67">
        <f t="shared" si="83"/>
        <v>174111.38198513025</v>
      </c>
      <c r="AE61" s="67">
        <f>EDisponible!E74</f>
        <v>0.89586720929700159</v>
      </c>
      <c r="AF61" s="67">
        <f t="shared" si="84"/>
        <v>9.5867209297001543E-2</v>
      </c>
      <c r="AG61" s="67">
        <f>IF(AF61&lt;0, 0, 0.00035*(10*AF61/((1/COS(M$1))-0.8))^(3/(1+1/(DATOS!E$6))))</f>
        <v>1.8625720752925609E-2</v>
      </c>
      <c r="AH61" s="67">
        <f t="shared" si="85"/>
        <v>393478.12145561673</v>
      </c>
      <c r="AI61" s="67">
        <f t="shared" si="86"/>
        <v>20008851.794625562</v>
      </c>
      <c r="AJ61" s="67">
        <f t="shared" si="59"/>
        <v>0.19125449772324696</v>
      </c>
      <c r="AK61" s="67">
        <f t="shared" si="60"/>
        <v>1.5422912088103147E-2</v>
      </c>
      <c r="AL61" s="67">
        <f t="shared" si="61"/>
        <v>154297.38110619746</v>
      </c>
      <c r="AM61" s="67">
        <f>EDisponible!F74</f>
        <v>0.91322800319727948</v>
      </c>
      <c r="AN61" s="67">
        <f t="shared" si="87"/>
        <v>0.11322800319727944</v>
      </c>
      <c r="AO61" s="67">
        <f>IF(AN61&lt;0, 0, 0.00035*(10*AN61/((1/COS(M$1))-0.8))^(3/(1+1/(DATOS!E$6))))</f>
        <v>2.8784781021871052E-2</v>
      </c>
      <c r="AP61" s="67">
        <f t="shared" si="88"/>
        <v>442272.5898098817</v>
      </c>
      <c r="AQ61" s="67">
        <f t="shared" si="89"/>
        <v>16886163.365234941</v>
      </c>
      <c r="AR61" s="67">
        <f t="shared" si="62"/>
        <v>0.22662240185823035</v>
      </c>
      <c r="AS61" s="67">
        <f t="shared" si="63"/>
        <v>1.6351140256074526E-2</v>
      </c>
      <c r="AT61" s="67">
        <f t="shared" si="64"/>
        <v>138054.01278597198</v>
      </c>
      <c r="AU61" s="67">
        <f>EDisponible!G74</f>
        <v>0.93163885494774168</v>
      </c>
      <c r="AV61" s="67">
        <f t="shared" si="90"/>
        <v>0.13163885494774163</v>
      </c>
      <c r="AW61" s="67">
        <f>IF(AV61&lt;0, 0, 0.00035*(10*AV61/((1/COS(M$1))-0.8))^(3/(1+1/(DATOS!E$6))))</f>
        <v>4.2686268571628869E-2</v>
      </c>
      <c r="AX61" s="67">
        <f t="shared" si="65"/>
        <v>498457.66506238148</v>
      </c>
      <c r="AY61" s="67">
        <f t="shared" si="91"/>
        <v>14150748.60817761</v>
      </c>
      <c r="AZ61" s="67">
        <f t="shared" si="66"/>
        <v>0.27042971407099492</v>
      </c>
      <c r="BA61" s="67">
        <f t="shared" si="67"/>
        <v>1.7718697737321727E-2</v>
      </c>
      <c r="BB61" s="67">
        <f t="shared" si="68"/>
        <v>125366.41867256259</v>
      </c>
      <c r="BC61" s="67">
        <f>EDisponible!H74</f>
        <v>0.95121007392558887</v>
      </c>
      <c r="BD61" s="67">
        <f t="shared" si="92"/>
        <v>0.15121007392558883</v>
      </c>
      <c r="BE61" s="67">
        <f>IF(BD61&lt;0, 0, 0.00035*(10*BD61/((1/COS(M$1))-0.8))^(3/(1+1/(DATOS!E$6))))</f>
        <v>6.1337423863171071E-2</v>
      </c>
      <c r="BF61" s="67">
        <f t="shared" si="69"/>
        <v>559351.65135304665</v>
      </c>
      <c r="BG61" s="67">
        <f t="shared" si="93"/>
        <v>11767987.640748747</v>
      </c>
      <c r="BH61" s="67">
        <f t="shared" si="70"/>
        <v>0.32518583608543955</v>
      </c>
      <c r="BI61" s="67">
        <f t="shared" si="71"/>
        <v>1.976700811357418E-2</v>
      </c>
      <c r="BJ61" s="67">
        <f t="shared" si="72"/>
        <v>116308.95358756058</v>
      </c>
      <c r="BK61" s="67">
        <f>EDisponible!I74</f>
        <v>0.97206890579211436</v>
      </c>
      <c r="BL61" s="67">
        <f t="shared" si="94"/>
        <v>0.17206890579211431</v>
      </c>
      <c r="BM61" s="67">
        <f>IF(BL61&lt;0, 0, 0.00035*(10*BL61/((1/COS(M$1))-0.8))^(3/(1+1/(DATOS!E$6))))</f>
        <v>8.600135374525103E-2</v>
      </c>
      <c r="BN61" s="67">
        <f t="shared" si="73"/>
        <v>622340.38756844809</v>
      </c>
    </row>
    <row r="62" spans="1:66">
      <c r="A62" s="41">
        <f>EDisponible!A75</f>
        <v>295</v>
      </c>
      <c r="B62" s="44"/>
      <c r="C62" s="67">
        <f t="shared" si="48"/>
        <v>38419973.898163743</v>
      </c>
      <c r="D62" s="67">
        <f t="shared" si="1"/>
        <v>9.9603995310962423E-2</v>
      </c>
      <c r="E62" s="67">
        <f t="shared" si="49"/>
        <v>1.3748687736298578E-2</v>
      </c>
      <c r="F62" s="67">
        <f t="shared" si="50"/>
        <v>264112.11198129767</v>
      </c>
      <c r="G62" s="67">
        <f>EDisponible!B75</f>
        <v>0.86382222184502455</v>
      </c>
      <c r="H62" s="67">
        <f t="shared" si="74"/>
        <v>6.3822221845024507E-2</v>
      </c>
      <c r="I62" s="67">
        <f>IF(H62&lt;0, 0, 0.00035*(10*H62/((1/COS(M$1))-0.8))^(3/(1+1/(DATOS!E$6))))</f>
        <v>6.4265726675068156E-3</v>
      </c>
      <c r="J62" s="67">
        <f t="shared" si="75"/>
        <v>387566.48905142985</v>
      </c>
      <c r="K62" s="67">
        <f t="shared" si="76"/>
        <v>33189626.000687465</v>
      </c>
      <c r="L62" s="11">
        <f t="shared" si="51"/>
        <v>0.11530057313453111</v>
      </c>
      <c r="M62" s="67">
        <f t="shared" si="52"/>
        <v>1.3960547108126449E-2</v>
      </c>
      <c r="N62" s="67">
        <f t="shared" si="53"/>
        <v>231672.66864184791</v>
      </c>
      <c r="O62" s="67">
        <f>EDisponible!C75</f>
        <v>0.87881825293542859</v>
      </c>
      <c r="P62" s="67">
        <f t="shared" si="77"/>
        <v>7.8818252935428545E-2</v>
      </c>
      <c r="Q62" s="67">
        <f>IF(P62&lt;0, 0, 0.00035*(10*P62/((1/COS(M$1))-0.8))^(3/(1+1/(DATOS!E$6))))</f>
        <v>1.1160719639061711E-2</v>
      </c>
      <c r="R62" s="67">
        <f t="shared" si="78"/>
        <v>416882.7240013408</v>
      </c>
      <c r="S62" s="67">
        <f t="shared" si="79"/>
        <v>28522284.313731</v>
      </c>
      <c r="T62" s="67">
        <f t="shared" si="54"/>
        <v>0.13416817734187361</v>
      </c>
      <c r="U62" s="67">
        <f t="shared" si="55"/>
        <v>1.4256164488326792E-2</v>
      </c>
      <c r="V62" s="67">
        <f t="shared" si="56"/>
        <v>203309.18837968609</v>
      </c>
      <c r="W62" s="67">
        <f>EDisponible!D75</f>
        <v>0.89462341667074319</v>
      </c>
      <c r="X62" s="67">
        <f t="shared" si="80"/>
        <v>9.4623416670743143E-2</v>
      </c>
      <c r="Y62" s="67">
        <f>IF(X62&lt;0, 0, 0.00035*(10*X62/((1/COS(M$1))-0.8))^(3/(1+1/(DATOS!E$6))))</f>
        <v>1.8000312262037025E-2</v>
      </c>
      <c r="Z62" s="67">
        <f t="shared" si="81"/>
        <v>460014.20041656535</v>
      </c>
      <c r="AA62" s="67">
        <f t="shared" si="82"/>
        <v>24374500.498234086</v>
      </c>
      <c r="AB62" s="67">
        <f t="shared" si="57"/>
        <v>0.15699943883064385</v>
      </c>
      <c r="AC62" s="67">
        <f t="shared" si="58"/>
        <v>1.4673677518319432E-2</v>
      </c>
      <c r="AD62" s="67">
        <f t="shared" si="83"/>
        <v>178831.77999060164</v>
      </c>
      <c r="AE62" s="67">
        <f>EDisponible!E75</f>
        <v>0.91131319566419133</v>
      </c>
      <c r="AF62" s="67">
        <f t="shared" si="84"/>
        <v>0.11131319566419129</v>
      </c>
      <c r="AG62" s="67">
        <f>IF(AF62&lt;0, 0, 0.00035*(10*AF62/((1/COS(M$1))-0.8))^(3/(1+1/(DATOS!E$6))))</f>
        <v>2.7528988827517937E-2</v>
      </c>
      <c r="AH62" s="67">
        <f t="shared" si="85"/>
        <v>514334.45593670994</v>
      </c>
      <c r="AI62" s="67">
        <f t="shared" si="86"/>
        <v>20704760.135877404</v>
      </c>
      <c r="AJ62" s="67">
        <f t="shared" si="59"/>
        <v>0.18482623681154919</v>
      </c>
      <c r="AK62" s="67">
        <f t="shared" si="60"/>
        <v>1.5271077177911348E-2</v>
      </c>
      <c r="AL62" s="67">
        <f t="shared" si="61"/>
        <v>158091.99499256304</v>
      </c>
      <c r="AM62" s="67">
        <f>EDisponible!F75</f>
        <v>0.92897331359723256</v>
      </c>
      <c r="AN62" s="67">
        <f t="shared" si="87"/>
        <v>0.12897331359723252</v>
      </c>
      <c r="AO62" s="67">
        <f>IF(AN62&lt;0, 0, 0.00035*(10*AN62/((1/COS(M$1))-0.8))^(3/(1+1/(DATOS!E$6))))</f>
        <v>4.0462479563449318E-2</v>
      </c>
      <c r="AP62" s="67">
        <f t="shared" si="88"/>
        <v>576974.96192459285</v>
      </c>
      <c r="AQ62" s="67">
        <f t="shared" si="89"/>
        <v>17473464.528651256</v>
      </c>
      <c r="AR62" s="67">
        <f t="shared" si="62"/>
        <v>0.21900538921318213</v>
      </c>
      <c r="AS62" s="67">
        <f t="shared" si="63"/>
        <v>1.6137956554529365E-2</v>
      </c>
      <c r="AT62" s="67">
        <f t="shared" si="64"/>
        <v>140993.00571024197</v>
      </c>
      <c r="AU62" s="67">
        <f>EDisponible!G75</f>
        <v>0.94770159382615105</v>
      </c>
      <c r="AV62" s="67">
        <f t="shared" si="90"/>
        <v>0.147701593826151</v>
      </c>
      <c r="AW62" s="67">
        <f>IF(AV62&lt;0, 0, 0.00035*(10*AV62/((1/COS(M$1))-0.8))^(3/(1+1/(DATOS!E$6))))</f>
        <v>5.7684650152621336E-2</v>
      </c>
      <c r="AX62" s="67">
        <f t="shared" si="65"/>
        <v>644968.34985498502</v>
      </c>
      <c r="AY62" s="67">
        <f t="shared" si="91"/>
        <v>14642911.981291991</v>
      </c>
      <c r="AZ62" s="67">
        <f t="shared" si="66"/>
        <v>0.26134029248343205</v>
      </c>
      <c r="BA62" s="67">
        <f t="shared" si="67"/>
        <v>1.7415128932764527E-2</v>
      </c>
      <c r="BB62" s="67">
        <f t="shared" si="68"/>
        <v>127504.10005266125</v>
      </c>
      <c r="BC62" s="67">
        <f>EDisponible!H75</f>
        <v>0.96761024761396108</v>
      </c>
      <c r="BD62" s="67">
        <f t="shared" si="92"/>
        <v>0.16761024761396104</v>
      </c>
      <c r="BE62" s="67">
        <f>IF(BD62&lt;0, 0, 0.00035*(10*BD62/((1/COS(M$1))-0.8))^(3/(1+1/(DATOS!E$6))))</f>
        <v>8.029437436947777E-2</v>
      </c>
      <c r="BF62" s="67">
        <f t="shared" si="69"/>
        <v>715375.82829524647</v>
      </c>
      <c r="BG62" s="67">
        <f t="shared" si="93"/>
        <v>12177278.530751007</v>
      </c>
      <c r="BH62" s="67">
        <f t="shared" si="70"/>
        <v>0.31425600476627941</v>
      </c>
      <c r="BI62" s="67">
        <f t="shared" si="71"/>
        <v>1.9328061639780465E-2</v>
      </c>
      <c r="BJ62" s="67">
        <f t="shared" si="72"/>
        <v>117681.59502356537</v>
      </c>
      <c r="BK62" s="67">
        <f>EDisponible!I75</f>
        <v>0.98882871451266807</v>
      </c>
      <c r="BL62" s="67">
        <f t="shared" si="94"/>
        <v>0.18882871451266803</v>
      </c>
      <c r="BM62" s="67">
        <f>IF(BL62&lt;0, 0, 0.00035*(10*BL62/((1/COS(M$1))-0.8))^(3/(1+1/(DATOS!E$6))))</f>
        <v>0.10966725178740011</v>
      </c>
      <c r="BN62" s="67">
        <f t="shared" si="73"/>
        <v>785405.93038215151</v>
      </c>
    </row>
    <row r="63" spans="1:66">
      <c r="A63" s="41">
        <f>EDisponible!A76</f>
        <v>300</v>
      </c>
      <c r="B63" s="44"/>
      <c r="C63" s="67">
        <f t="shared" si="48"/>
        <v>39733382.945529871</v>
      </c>
      <c r="D63" s="67">
        <f t="shared" si="1"/>
        <v>9.6311529910405605E-2</v>
      </c>
      <c r="E63" s="67">
        <f t="shared" si="49"/>
        <v>1.3708175415089188E-2</v>
      </c>
      <c r="F63" s="67">
        <f t="shared" si="50"/>
        <v>272336.09162611829</v>
      </c>
      <c r="G63" s="67">
        <f>EDisponible!B76</f>
        <v>0.87846327645256728</v>
      </c>
      <c r="H63" s="67">
        <f t="shared" si="74"/>
        <v>7.8463276452567232E-2</v>
      </c>
      <c r="I63" s="67">
        <f>IF(H63&lt;0, 0, 0.00035*(10*H63/((1/COS(M$1))-0.8))^(3/(1+1/(DATOS!E$6))))</f>
        <v>1.1029735315087122E-2</v>
      </c>
      <c r="J63" s="67">
        <f t="shared" si="75"/>
        <v>491460.44015721389</v>
      </c>
      <c r="K63" s="67">
        <f t="shared" si="76"/>
        <v>34324232.5775567</v>
      </c>
      <c r="L63" s="11">
        <f t="shared" si="51"/>
        <v>0.11148924863369522</v>
      </c>
      <c r="M63" s="67">
        <f t="shared" si="52"/>
        <v>1.390626002077372E-2</v>
      </c>
      <c r="N63" s="67">
        <f t="shared" si="53"/>
        <v>238660.85161850782</v>
      </c>
      <c r="O63" s="67">
        <f>EDisponible!C76</f>
        <v>0.89371347756145281</v>
      </c>
      <c r="P63" s="67">
        <f t="shared" si="77"/>
        <v>9.3713477561452763E-2</v>
      </c>
      <c r="Q63" s="67">
        <f>IF(P63&lt;0, 0, 0.00035*(10*P63/((1/COS(M$1))-0.8))^(3/(1+1/(DATOS!E$6))))</f>
        <v>1.7551102030818024E-2</v>
      </c>
      <c r="R63" s="67">
        <f t="shared" si="78"/>
        <v>539874.90566762071</v>
      </c>
      <c r="S63" s="67">
        <f t="shared" si="79"/>
        <v>29497335.113309853</v>
      </c>
      <c r="T63" s="67">
        <f t="shared" si="54"/>
        <v>0.12973317370196166</v>
      </c>
      <c r="U63" s="67">
        <f t="shared" si="55"/>
        <v>1.4182656819675094E-2</v>
      </c>
      <c r="V63" s="67">
        <f t="shared" si="56"/>
        <v>209175.29050351278</v>
      </c>
      <c r="W63" s="67">
        <f>EDisponible!D76</f>
        <v>0.90978652542787453</v>
      </c>
      <c r="X63" s="67">
        <f t="shared" si="80"/>
        <v>0.10978652542787448</v>
      </c>
      <c r="Y63" s="67">
        <f>IF(X63&lt;0, 0, 0.00035*(10*X63/((1/COS(M$1))-0.8))^(3/(1+1/(DATOS!E$6))))</f>
        <v>2.6552425652910428E-2</v>
      </c>
      <c r="Z63" s="67">
        <f t="shared" si="81"/>
        <v>600788.18928108481</v>
      </c>
      <c r="AA63" s="67">
        <f t="shared" si="82"/>
        <v>25207756.907107931</v>
      </c>
      <c r="AB63" s="67">
        <f t="shared" si="57"/>
        <v>0.15180973515818647</v>
      </c>
      <c r="AC63" s="67">
        <f t="shared" si="58"/>
        <v>1.4573023803210947E-2</v>
      </c>
      <c r="AD63" s="67">
        <f t="shared" si="83"/>
        <v>183676.62071641951</v>
      </c>
      <c r="AE63" s="67">
        <f>EDisponible!E76</f>
        <v>0.92675918203138097</v>
      </c>
      <c r="AF63" s="67">
        <f t="shared" si="84"/>
        <v>0.12675918203138092</v>
      </c>
      <c r="AG63" s="67">
        <f>IF(AF63&lt;0, 0, 0.00035*(10*AF63/((1/COS(M$1))-0.8))^(3/(1+1/(DATOS!E$6))))</f>
        <v>3.8670846290505212E-2</v>
      </c>
      <c r="AH63" s="67">
        <f t="shared" si="85"/>
        <v>671079.26705801545</v>
      </c>
      <c r="AI63" s="67">
        <f t="shared" si="86"/>
        <v>21412564.346210472</v>
      </c>
      <c r="AJ63" s="67">
        <f t="shared" si="59"/>
        <v>0.17871670287250074</v>
      </c>
      <c r="AK63" s="67">
        <f t="shared" si="60"/>
        <v>1.5131581468068381E-2</v>
      </c>
      <c r="AL63" s="67">
        <f t="shared" si="61"/>
        <v>162002.98092247007</v>
      </c>
      <c r="AM63" s="67">
        <f>EDisponible!F76</f>
        <v>0.94471862399718576</v>
      </c>
      <c r="AN63" s="67">
        <f t="shared" si="87"/>
        <v>0.14471862399718571</v>
      </c>
      <c r="AO63" s="67">
        <f>IF(AN63&lt;0, 0, 0.00035*(10*AN63/((1/COS(M$1))-0.8))^(3/(1+1/(DATOS!E$6))))</f>
        <v>5.4687236145602718E-2</v>
      </c>
      <c r="AP63" s="67">
        <f t="shared" si="88"/>
        <v>747499.96236453264</v>
      </c>
      <c r="AQ63" s="67">
        <f t="shared" si="89"/>
        <v>18070805.028194349</v>
      </c>
      <c r="AR63" s="67">
        <f t="shared" si="62"/>
        <v>0.2117660444030797</v>
      </c>
      <c r="AS63" s="67">
        <f t="shared" si="63"/>
        <v>1.5942097698773278E-2</v>
      </c>
      <c r="AT63" s="67">
        <f t="shared" si="64"/>
        <v>144043.26962747885</v>
      </c>
      <c r="AU63" s="67">
        <f>EDisponible!G76</f>
        <v>0.9637643327045603</v>
      </c>
      <c r="AV63" s="67">
        <f t="shared" si="90"/>
        <v>0.16376433270456026</v>
      </c>
      <c r="AW63" s="67">
        <f>IF(AV63&lt;0, 0, 0.00035*(10*AV63/((1/COS(M$1))-0.8))^(3/(1+1/(DATOS!E$6))))</f>
        <v>7.5564667945216005E-2</v>
      </c>
      <c r="AX63" s="67">
        <f t="shared" si="65"/>
        <v>826800.46035660175</v>
      </c>
      <c r="AY63" s="67">
        <f t="shared" si="91"/>
        <v>15143488.40351944</v>
      </c>
      <c r="AZ63" s="67">
        <f t="shared" si="66"/>
        <v>0.25270154392634081</v>
      </c>
      <c r="BA63" s="67">
        <f t="shared" si="67"/>
        <v>1.7136230319630068E-2</v>
      </c>
      <c r="BB63" s="67">
        <f t="shared" si="68"/>
        <v>129751.15256267808</v>
      </c>
      <c r="BC63" s="67">
        <f>EDisponible!H76</f>
        <v>0.98401042130233329</v>
      </c>
      <c r="BD63" s="67">
        <f t="shared" si="92"/>
        <v>0.18401042130233325</v>
      </c>
      <c r="BE63" s="67">
        <f>IF(BD63&lt;0, 0, 0.00035*(10*BD63/((1/COS(M$1))-0.8))^(3/(1+1/(DATOS!E$6))))</f>
        <v>0.10249853416012493</v>
      </c>
      <c r="BF63" s="67">
        <f t="shared" si="69"/>
        <v>905843.83427847456</v>
      </c>
      <c r="BG63" s="67">
        <f t="shared" si="93"/>
        <v>12593565.84622339</v>
      </c>
      <c r="BH63" s="67">
        <f t="shared" si="70"/>
        <v>0.30386809794206077</v>
      </c>
      <c r="BI63" s="67">
        <f t="shared" si="71"/>
        <v>1.8924787123613049E-2</v>
      </c>
      <c r="BJ63" s="67">
        <f t="shared" si="72"/>
        <v>119165.27638349074</v>
      </c>
      <c r="BK63" s="67">
        <f>EDisponible!I76</f>
        <v>1.0055885232332218</v>
      </c>
      <c r="BL63" s="67">
        <f t="shared" si="94"/>
        <v>0.20558852323322174</v>
      </c>
      <c r="BM63" s="67">
        <f>IF(BL63&lt;0, 0, 0.00035*(10*BL63/((1/COS(M$1))-0.8))^(3/(1+1/(DATOS!E$6))))</f>
        <v>0.13698256241459403</v>
      </c>
      <c r="BN63" s="67">
        <f t="shared" si="73"/>
        <v>981714.73615978821</v>
      </c>
    </row>
    <row r="64" spans="1:66">
      <c r="A64" s="41">
        <f>EDisponible!A77</f>
        <v>305</v>
      </c>
      <c r="B64" s="44"/>
      <c r="C64" s="67">
        <f t="shared" si="48"/>
        <v>41068866.0945324</v>
      </c>
      <c r="D64" s="67">
        <f t="shared" si="1"/>
        <v>9.3179658069728624E-2</v>
      </c>
      <c r="E64" s="67">
        <f t="shared" si="49"/>
        <v>1.3670902783616684E-2</v>
      </c>
      <c r="F64" s="67">
        <f t="shared" si="50"/>
        <v>280724.23790586193</v>
      </c>
      <c r="G64" s="67">
        <f>EDisponible!B77</f>
        <v>0.89310433106011011</v>
      </c>
      <c r="H64" s="67">
        <f t="shared" si="74"/>
        <v>9.3104331060110068E-2</v>
      </c>
      <c r="I64" s="67">
        <f>IF(H64&lt;0, 0, 0.00035*(10*H64/((1/COS(M$1))-0.8))^(3/(1+1/(DATOS!E$6))))</f>
        <v>1.7254293329892513E-2</v>
      </c>
      <c r="J64" s="67">
        <f t="shared" si="75"/>
        <v>635031.36906643154</v>
      </c>
      <c r="K64" s="67">
        <f t="shared" si="76"/>
        <v>35477908.172524579</v>
      </c>
      <c r="L64" s="11">
        <f t="shared" si="51"/>
        <v>0.10786382560637001</v>
      </c>
      <c r="M64" s="67">
        <f t="shared" si="52"/>
        <v>1.3856314163804534E-2</v>
      </c>
      <c r="N64" s="67">
        <f t="shared" si="53"/>
        <v>245796.52075655447</v>
      </c>
      <c r="O64" s="67">
        <f>EDisponible!C77</f>
        <v>0.90860870218747702</v>
      </c>
      <c r="P64" s="67">
        <f t="shared" si="77"/>
        <v>0.10860870218747698</v>
      </c>
      <c r="Q64" s="67">
        <f>IF(P64&lt;0, 0, 0.00035*(10*P64/((1/COS(M$1))-0.8))^(3/(1+1/(DATOS!E$6))))</f>
        <v>2.5813842200320545E-2</v>
      </c>
      <c r="R64" s="67">
        <f t="shared" si="78"/>
        <v>703707.08233806049</v>
      </c>
      <c r="S64" s="67">
        <f t="shared" si="79"/>
        <v>30488773.321284991</v>
      </c>
      <c r="T64" s="67">
        <f t="shared" si="54"/>
        <v>0.12551449215991992</v>
      </c>
      <c r="U64" s="67">
        <f t="shared" si="55"/>
        <v>1.4115027413058357E-2</v>
      </c>
      <c r="V64" s="67">
        <f t="shared" si="56"/>
        <v>215174.93561022996</v>
      </c>
      <c r="W64" s="67">
        <f>EDisponible!D77</f>
        <v>0.92494963418500575</v>
      </c>
      <c r="X64" s="67">
        <f t="shared" si="80"/>
        <v>0.12494963418500571</v>
      </c>
      <c r="Y64" s="67">
        <f>IF(X64&lt;0, 0, 0.00035*(10*X64/((1/COS(M$1))-0.8))^(3/(1+1/(DATOS!E$6))))</f>
        <v>3.7243635413839959E-2</v>
      </c>
      <c r="Z64" s="67">
        <f t="shared" si="81"/>
        <v>782931.31450680422</v>
      </c>
      <c r="AA64" s="67">
        <f t="shared" si="82"/>
        <v>26055017.625374615</v>
      </c>
      <c r="AB64" s="67">
        <f t="shared" si="57"/>
        <v>0.14687316489370364</v>
      </c>
      <c r="AC64" s="67">
        <f t="shared" si="58"/>
        <v>1.4480419165471565E-2</v>
      </c>
      <c r="AD64" s="67">
        <f t="shared" si="83"/>
        <v>188643.78828958701</v>
      </c>
      <c r="AE64" s="67">
        <f>EDisponible!E77</f>
        <v>0.9422051683985706</v>
      </c>
      <c r="AF64" s="67">
        <f t="shared" si="84"/>
        <v>0.14220516839857056</v>
      </c>
      <c r="AG64" s="67">
        <f>IF(AF64&lt;0, 0, 0.00035*(10*AF64/((1/COS(M$1))-0.8))^(3/(1+1/(DATOS!E$6))))</f>
        <v>5.2237862688586524E-2</v>
      </c>
      <c r="AH64" s="67">
        <f t="shared" si="85"/>
        <v>869173.00482109748</v>
      </c>
      <c r="AI64" s="67">
        <f t="shared" si="86"/>
        <v>22132264.425624769</v>
      </c>
      <c r="AJ64" s="67">
        <f t="shared" si="59"/>
        <v>0.1729051680572434</v>
      </c>
      <c r="AK64" s="67">
        <f t="shared" si="60"/>
        <v>1.5003240952645949E-2</v>
      </c>
      <c r="AL64" s="67">
        <f t="shared" si="61"/>
        <v>166027.84800266131</v>
      </c>
      <c r="AM64" s="67">
        <f>EDisponible!F77</f>
        <v>0.96046393439713884</v>
      </c>
      <c r="AN64" s="67">
        <f t="shared" si="87"/>
        <v>0.1604639343971388</v>
      </c>
      <c r="AO64" s="67">
        <f>IF(AN64&lt;0, 0, 0.00035*(10*AN64/((1/COS(M$1))-0.8))^(3/(1+1/(DATOS!E$6))))</f>
        <v>7.1646314016916138E-2</v>
      </c>
      <c r="AP64" s="67">
        <f t="shared" si="88"/>
        <v>958875.43147452851</v>
      </c>
      <c r="AQ64" s="67">
        <f t="shared" si="89"/>
        <v>18678184.863864213</v>
      </c>
      <c r="AR64" s="67">
        <f t="shared" si="62"/>
        <v>0.20487980646360843</v>
      </c>
      <c r="AS64" s="67">
        <f t="shared" si="63"/>
        <v>1.576190128609449E-2</v>
      </c>
      <c r="AT64" s="67">
        <f t="shared" si="64"/>
        <v>147201.85301382598</v>
      </c>
      <c r="AU64" s="67">
        <f>EDisponible!G77</f>
        <v>0.97982707158296967</v>
      </c>
      <c r="AV64" s="67">
        <f t="shared" si="90"/>
        <v>0.17982707158296962</v>
      </c>
      <c r="AW64" s="67">
        <f>IF(AV64&lt;0, 0, 0.00035*(10*AV64/((1/COS(M$1))-0.8))^(3/(1+1/(DATOS!E$6))))</f>
        <v>9.651546316555934E-2</v>
      </c>
      <c r="AX64" s="67">
        <f t="shared" si="65"/>
        <v>1048568.6846277232</v>
      </c>
      <c r="AY64" s="67">
        <f t="shared" si="91"/>
        <v>15652477.874859955</v>
      </c>
      <c r="AZ64" s="67">
        <f t="shared" si="66"/>
        <v>0.24448415967074089</v>
      </c>
      <c r="BA64" s="67">
        <f t="shared" si="67"/>
        <v>1.6879634673781379E-2</v>
      </c>
      <c r="BB64" s="67">
        <f t="shared" si="68"/>
        <v>132104.05413354098</v>
      </c>
      <c r="BC64" s="67">
        <f>EDisponible!H77</f>
        <v>1.0004105949907056</v>
      </c>
      <c r="BD64" s="67">
        <f t="shared" si="92"/>
        <v>0.20041059499070557</v>
      </c>
      <c r="BE64" s="67">
        <f>IF(BD64&lt;0, 0, 0.00035*(10*BD64/((1/COS(M$1))-0.8))^(3/(1+1/(DATOS!E$6))))</f>
        <v>0.12814201809675349</v>
      </c>
      <c r="BF64" s="67">
        <f t="shared" si="69"/>
        <v>1134974.1056832098</v>
      </c>
      <c r="BG64" s="67">
        <f t="shared" si="93"/>
        <v>13016849.587165896</v>
      </c>
      <c r="BH64" s="67">
        <f t="shared" si="70"/>
        <v>0.29398687250508437</v>
      </c>
      <c r="BI64" s="67">
        <f t="shared" si="71"/>
        <v>1.8553761668278816E-2</v>
      </c>
      <c r="BJ64" s="67">
        <f t="shared" si="72"/>
        <v>120755.76245605477</v>
      </c>
      <c r="BK64" s="67">
        <f>EDisponible!I77</f>
        <v>1.0223483319537754</v>
      </c>
      <c r="BL64" s="67">
        <f t="shared" si="94"/>
        <v>0.22234833195377535</v>
      </c>
      <c r="BM64" s="67">
        <f>IF(BL64&lt;0, 0, 0.00035*(10*BL64/((1/COS(M$1))-0.8))^(3/(1+1/(DATOS!E$6))))</f>
        <v>0.16814343844841173</v>
      </c>
      <c r="BN64" s="67">
        <f t="shared" si="73"/>
        <v>1215104.6861319861</v>
      </c>
    </row>
    <row r="65" spans="1:66">
      <c r="A65" s="41">
        <f>EDisponible!A78</f>
        <v>310</v>
      </c>
      <c r="B65" s="44"/>
      <c r="C65" s="67">
        <f t="shared" si="48"/>
        <v>42426423.34517134</v>
      </c>
      <c r="D65" s="67">
        <f t="shared" si="1"/>
        <v>9.0198102933782567E-2</v>
      </c>
      <c r="E65" s="67">
        <f t="shared" si="49"/>
        <v>1.3636563868872756E-2</v>
      </c>
      <c r="F65" s="67">
        <f t="shared" si="50"/>
        <v>289275.31583713152</v>
      </c>
      <c r="G65" s="67">
        <f>EDisponible!B78</f>
        <v>0.90774538566765284</v>
      </c>
      <c r="H65" s="67">
        <f t="shared" si="74"/>
        <v>0.10774538566765279</v>
      </c>
      <c r="I65" s="67">
        <f>IF(H65&lt;0, 0, 0.00035*(10*H65/((1/COS(M$1))-0.8))^(3/(1+1/(DATOS!E$6))))</f>
        <v>2.5280628920186319E-2</v>
      </c>
      <c r="J65" s="67">
        <f t="shared" si="75"/>
        <v>825558.64833713474</v>
      </c>
      <c r="K65" s="67">
        <f t="shared" si="76"/>
        <v>36650652.785591103</v>
      </c>
      <c r="L65" s="11">
        <f t="shared" si="51"/>
        <v>0.1044124076694336</v>
      </c>
      <c r="M65" s="67">
        <f t="shared" si="52"/>
        <v>1.3810299529030425E-2</v>
      </c>
      <c r="N65" s="67">
        <f t="shared" si="53"/>
        <v>253078.24645175322</v>
      </c>
      <c r="O65" s="67">
        <f>EDisponible!C78</f>
        <v>0.92350392681350124</v>
      </c>
      <c r="P65" s="67">
        <f t="shared" si="77"/>
        <v>0.1235039268135012</v>
      </c>
      <c r="Q65" s="67">
        <f>IF(P65&lt;0, 0, 0.00035*(10*P65/((1/COS(M$1))-0.8))^(3/(1+1/(DATOS!E$6))))</f>
        <v>3.6127119045588817E-2</v>
      </c>
      <c r="R65" s="67">
        <f t="shared" si="78"/>
        <v>915119.4945935487</v>
      </c>
      <c r="S65" s="67">
        <f t="shared" si="79"/>
        <v>31496598.93765641</v>
      </c>
      <c r="T65" s="67">
        <f t="shared" si="54"/>
        <v>0.12149828962722736</v>
      </c>
      <c r="U65" s="67">
        <f t="shared" si="55"/>
        <v>1.4052721095091309E-2</v>
      </c>
      <c r="V65" s="67">
        <f t="shared" si="56"/>
        <v>221306.46015741737</v>
      </c>
      <c r="W65" s="67">
        <f>EDisponible!D78</f>
        <v>0.94011274294213698</v>
      </c>
      <c r="X65" s="67">
        <f t="shared" si="80"/>
        <v>0.14011274294213694</v>
      </c>
      <c r="Y65" s="67">
        <f>IF(X65&lt;0, 0, 0.00035*(10*X65/((1/COS(M$1))-0.8))^(3/(1+1/(DATOS!E$6))))</f>
        <v>5.0251406082668149E-2</v>
      </c>
      <c r="Z65" s="67">
        <f t="shared" si="81"/>
        <v>1012680.6518769707</v>
      </c>
      <c r="AA65" s="67">
        <f t="shared" si="82"/>
        <v>26916282.653034136</v>
      </c>
      <c r="AB65" s="67">
        <f t="shared" si="57"/>
        <v>0.14217352928446181</v>
      </c>
      <c r="AC65" s="67">
        <f t="shared" si="58"/>
        <v>1.4395103408719304E-2</v>
      </c>
      <c r="AD65" s="67">
        <f t="shared" si="83"/>
        <v>193731.33608437199</v>
      </c>
      <c r="AE65" s="67">
        <f>EDisponible!E78</f>
        <v>0.95765115476576035</v>
      </c>
      <c r="AF65" s="67">
        <f t="shared" si="84"/>
        <v>0.1576511547657603</v>
      </c>
      <c r="AG65" s="67">
        <f>IF(AF65&lt;0, 0, 0.00035*(10*AF65/((1/COS(M$1))-0.8))^(3/(1+1/(DATOS!E$6))))</f>
        <v>6.8408011358116222E-2</v>
      </c>
      <c r="AH65" s="67">
        <f t="shared" si="85"/>
        <v>1114376.0208078849</v>
      </c>
      <c r="AI65" s="67">
        <f t="shared" si="86"/>
        <v>22863860.374120291</v>
      </c>
      <c r="AJ65" s="67">
        <f t="shared" si="59"/>
        <v>0.16737256252367397</v>
      </c>
      <c r="AK65" s="67">
        <f t="shared" si="60"/>
        <v>1.4885002077547109E-2</v>
      </c>
      <c r="AL65" s="67">
        <f t="shared" si="61"/>
        <v>170164.30458476377</v>
      </c>
      <c r="AM65" s="67">
        <f>EDisponible!F78</f>
        <v>0.97620924479709192</v>
      </c>
      <c r="AN65" s="67">
        <f t="shared" si="87"/>
        <v>0.17620924479709188</v>
      </c>
      <c r="AO65" s="67">
        <f>IF(AN65&lt;0, 0, 0.00035*(10*AN65/((1/COS(M$1))-0.8))^(3/(1+1/(DATOS!E$6))))</f>
        <v>9.1519263209257004E-2</v>
      </c>
      <c r="AP65" s="67">
        <f t="shared" si="88"/>
        <v>1216406.1323641718</v>
      </c>
      <c r="AQ65" s="67">
        <f t="shared" si="89"/>
        <v>19295604.035660852</v>
      </c>
      <c r="AR65" s="67">
        <f t="shared" si="62"/>
        <v>0.19832407904554814</v>
      </c>
      <c r="AS65" s="67">
        <f t="shared" si="63"/>
        <v>1.5595888074585581E-2</v>
      </c>
      <c r="AT65" s="67">
        <f t="shared" si="64"/>
        <v>150466.04043584425</v>
      </c>
      <c r="AU65" s="67">
        <f>EDisponible!G78</f>
        <v>0.99588981046137903</v>
      </c>
      <c r="AV65" s="67">
        <f t="shared" si="90"/>
        <v>0.19588981046137899</v>
      </c>
      <c r="AW65" s="67">
        <f>IF(AV65&lt;0, 0, 0.00035*(10*AV65/((1/COS(M$1))-0.8))^(3/(1+1/(DATOS!E$6))))</f>
        <v>0.12071914593896217</v>
      </c>
      <c r="AX65" s="67">
        <f t="shared" si="65"/>
        <v>1315140.4602165292</v>
      </c>
      <c r="AY65" s="67">
        <f t="shared" si="91"/>
        <v>16169880.395313535</v>
      </c>
      <c r="AZ65" s="67">
        <f t="shared" si="66"/>
        <v>0.23666117537326403</v>
      </c>
      <c r="BA65" s="67">
        <f t="shared" si="67"/>
        <v>1.6643235587954525E-2</v>
      </c>
      <c r="BB65" s="67">
        <f t="shared" si="68"/>
        <v>134559.56442412519</v>
      </c>
      <c r="BC65" s="67">
        <f>EDisponible!H78</f>
        <v>1.0168107686790777</v>
      </c>
      <c r="BD65" s="67">
        <f t="shared" si="92"/>
        <v>0.21681076867907767</v>
      </c>
      <c r="BE65" s="67">
        <f>IF(BD65&lt;0, 0, 0.00035*(10*BD65/((1/COS(M$1))-0.8))^(3/(1+1/(DATOS!E$6))))</f>
        <v>0.15741044516444483</v>
      </c>
      <c r="BF65" s="67">
        <f t="shared" si="69"/>
        <v>1407213.6000651915</v>
      </c>
      <c r="BG65" s="67">
        <f t="shared" si="93"/>
        <v>13447129.753578531</v>
      </c>
      <c r="BH65" s="67">
        <f t="shared" si="70"/>
        <v>0.28457990442024422</v>
      </c>
      <c r="BI65" s="67">
        <f t="shared" si="71"/>
        <v>1.8211939506139613E-2</v>
      </c>
      <c r="BJ65" s="67">
        <f t="shared" si="72"/>
        <v>122449.15680169113</v>
      </c>
      <c r="BK65" s="67">
        <f>EDisponible!I78</f>
        <v>1.0391081406743292</v>
      </c>
      <c r="BL65" s="67">
        <f t="shared" si="94"/>
        <v>0.23910814067432917</v>
      </c>
      <c r="BM65" s="67">
        <f>IF(BL65&lt;0, 0, 0.00035*(10*BL65/((1/COS(M$1))-0.8))^(3/(1+1/(DATOS!E$6))))</f>
        <v>0.20333996076262176</v>
      </c>
      <c r="BN65" s="67">
        <f t="shared" si="73"/>
        <v>1489618.5750329623</v>
      </c>
    </row>
    <row r="66" spans="1:66">
      <c r="A66" s="41">
        <f>EDisponible!A79</f>
        <v>315</v>
      </c>
      <c r="B66" s="44"/>
      <c r="C66" s="67">
        <f t="shared" si="48"/>
        <v>43806054.697446689</v>
      </c>
      <c r="D66" s="67">
        <f t="shared" si="1"/>
        <v>8.7357396744132065E-2</v>
      </c>
      <c r="E66" s="67">
        <f t="shared" si="49"/>
        <v>1.3604885887344275E-2</v>
      </c>
      <c r="F66" s="67">
        <f t="shared" si="50"/>
        <v>297988.18766676192</v>
      </c>
      <c r="G66" s="67">
        <f>EDisponible!B79</f>
        <v>0.92238644027519567</v>
      </c>
      <c r="H66" s="67">
        <f t="shared" si="74"/>
        <v>0.12238644027519563</v>
      </c>
      <c r="I66" s="67">
        <f>IF(H66&lt;0, 0, 0.00035*(10*H66/((1/COS(M$1))-0.8))^(3/(1+1/(DATOS!E$6))))</f>
        <v>3.527842564659206E-2</v>
      </c>
      <c r="J66" s="67">
        <f t="shared" si="75"/>
        <v>1070692.5094239709</v>
      </c>
      <c r="K66" s="67">
        <f t="shared" si="76"/>
        <v>37842466.416756265</v>
      </c>
      <c r="L66" s="11">
        <f t="shared" si="51"/>
        <v>0.10112403504190041</v>
      </c>
      <c r="M66" s="67">
        <f t="shared" si="52"/>
        <v>1.3767850582659114E-2</v>
      </c>
      <c r="N66" s="67">
        <f t="shared" si="53"/>
        <v>260504.71165259785</v>
      </c>
      <c r="O66" s="67">
        <f>EDisponible!C79</f>
        <v>0.93839915143952546</v>
      </c>
      <c r="P66" s="67">
        <f t="shared" si="77"/>
        <v>0.13839915143952541</v>
      </c>
      <c r="Q66" s="67">
        <f>IF(P66&lt;0, 0, 0.00035*(10*P66/((1/COS(M$1))-0.8))^(3/(1+1/(DATOS!E$6))))</f>
        <v>4.8659882878440607E-2</v>
      </c>
      <c r="R66" s="67">
        <f t="shared" si="78"/>
        <v>1181209.7034879387</v>
      </c>
      <c r="S66" s="67">
        <f t="shared" si="79"/>
        <v>32520811.962424114</v>
      </c>
      <c r="T66" s="67">
        <f t="shared" si="54"/>
        <v>0.11767181288159788</v>
      </c>
      <c r="U66" s="67">
        <f t="shared" si="55"/>
        <v>1.3995242913139827E-2</v>
      </c>
      <c r="V66" s="67">
        <f t="shared" si="56"/>
        <v>227568.33157333449</v>
      </c>
      <c r="W66" s="67">
        <f>EDisponible!D79</f>
        <v>0.95527585169926821</v>
      </c>
      <c r="X66" s="67">
        <f t="shared" si="80"/>
        <v>0.15527585169926816</v>
      </c>
      <c r="Y66" s="67">
        <f>IF(X66&lt;0, 0, 0.00035*(10*X66/((1/COS(M$1))-0.8))^(3/(1+1/(DATOS!E$6))))</f>
        <v>6.5745058646040327E-2</v>
      </c>
      <c r="Z66" s="67">
        <f t="shared" si="81"/>
        <v>1296609.6764165461</v>
      </c>
      <c r="AA66" s="67">
        <f t="shared" si="82"/>
        <v>27791551.9900865</v>
      </c>
      <c r="AB66" s="67">
        <f t="shared" si="57"/>
        <v>0.13769590490538453</v>
      </c>
      <c r="AC66" s="67">
        <f t="shared" si="58"/>
        <v>1.4316398796571815E-2</v>
      </c>
      <c r="AD66" s="67">
        <f t="shared" si="83"/>
        <v>198937.47073286871</v>
      </c>
      <c r="AE66" s="67">
        <f>EDisponible!E79</f>
        <v>0.97309714113294998</v>
      </c>
      <c r="AF66" s="67">
        <f t="shared" si="84"/>
        <v>0.17309714113294994</v>
      </c>
      <c r="AG66" s="67">
        <f>IF(AF66&lt;0, 0, 0.00035*(10*AF66/((1/COS(M$1))-0.8))^(3/(1+1/(DATOS!E$6))))</f>
        <v>8.7351947184383924E-2</v>
      </c>
      <c r="AH66" s="67">
        <f t="shared" si="85"/>
        <v>1412760.5615379165</v>
      </c>
      <c r="AI66" s="67">
        <f t="shared" si="86"/>
        <v>23607352.191697046</v>
      </c>
      <c r="AJ66" s="67">
        <f t="shared" si="59"/>
        <v>0.16210131779818662</v>
      </c>
      <c r="AK66" s="67">
        <f t="shared" si="60"/>
        <v>1.4775925569764002E-2</v>
      </c>
      <c r="AL66" s="67">
        <f t="shared" si="61"/>
        <v>174410.23944186032</v>
      </c>
      <c r="AM66" s="67">
        <f>EDisponible!F79</f>
        <v>0.99195455519704501</v>
      </c>
      <c r="AN66" s="67">
        <f t="shared" si="87"/>
        <v>0.19195455519704496</v>
      </c>
      <c r="AO66" s="67">
        <f>IF(AN66&lt;0, 0, 0.00035*(10*AN66/((1/COS(M$1))-0.8))^(3/(1+1/(DATOS!E$6))))</f>
        <v>0.11447895656511355</v>
      </c>
      <c r="AP66" s="67">
        <f t="shared" si="88"/>
        <v>1525682.7625271725</v>
      </c>
      <c r="AQ66" s="67">
        <f t="shared" si="89"/>
        <v>19923062.543584269</v>
      </c>
      <c r="AR66" s="67">
        <f t="shared" si="62"/>
        <v>0.19207804481004961</v>
      </c>
      <c r="AS66" s="67">
        <f t="shared" si="63"/>
        <v>1.5442739278623909E-2</v>
      </c>
      <c r="AT66" s="67">
        <f t="shared" si="64"/>
        <v>153833.33024614479</v>
      </c>
      <c r="AU66" s="67">
        <f>EDisponible!G79</f>
        <v>1.0119525493397883</v>
      </c>
      <c r="AV66" s="67">
        <f t="shared" si="90"/>
        <v>0.21195254933978824</v>
      </c>
      <c r="AW66" s="67">
        <f>IF(AV66&lt;0, 0, 0.00035*(10*AV66/((1/COS(M$1))-0.8))^(3/(1+1/(DATOS!E$6))))</f>
        <v>0.14835165533429781</v>
      </c>
      <c r="AX66" s="67">
        <f t="shared" si="65"/>
        <v>1631642.9840808809</v>
      </c>
      <c r="AY66" s="67">
        <f t="shared" si="91"/>
        <v>16695695.964880183</v>
      </c>
      <c r="AZ66" s="67">
        <f t="shared" si="66"/>
        <v>0.22920774959305287</v>
      </c>
      <c r="BA66" s="67">
        <f t="shared" si="67"/>
        <v>1.6425155141032505E-2</v>
      </c>
      <c r="BB66" s="67">
        <f t="shared" si="68"/>
        <v>137114.6982053337</v>
      </c>
      <c r="BC66" s="67">
        <f>EDisponible!H79</f>
        <v>1.03321094236745</v>
      </c>
      <c r="BD66" s="67">
        <f t="shared" si="92"/>
        <v>0.23321094236744999</v>
      </c>
      <c r="BE66" s="67">
        <f>IF(BD66&lt;0, 0, 0.00035*(10*BD66/((1/COS(M$1))-0.8))^(3/(1+1/(DATOS!E$6))))</f>
        <v>0.1904836667244276</v>
      </c>
      <c r="BF66" s="67">
        <f t="shared" si="69"/>
        <v>1727243.3911586376</v>
      </c>
      <c r="BG66" s="67">
        <f t="shared" si="93"/>
        <v>13884406.345461287</v>
      </c>
      <c r="BH66" s="67">
        <f t="shared" si="70"/>
        <v>0.275617322396427</v>
      </c>
      <c r="BI66" s="67">
        <f t="shared" si="71"/>
        <v>1.7896605249975162E-2</v>
      </c>
      <c r="BJ66" s="67">
        <f t="shared" si="72"/>
        <v>124241.86974748546</v>
      </c>
      <c r="BK66" s="67">
        <f>EDisponible!I79</f>
        <v>1.0558679493948828</v>
      </c>
      <c r="BL66" s="67">
        <f t="shared" si="94"/>
        <v>0.25586794939488278</v>
      </c>
      <c r="BM66" s="67">
        <f>IF(BL66&lt;0, 0, 0.00035*(10*BL66/((1/COS(M$1))-0.8))^(3/(1+1/(DATOS!E$6))))</f>
        <v>0.24275676558294954</v>
      </c>
      <c r="BN66" s="67">
        <f t="shared" si="73"/>
        <v>1809508.657979267</v>
      </c>
    </row>
    <row r="67" spans="1:66">
      <c r="A67" s="41">
        <f>EDisponible!A80</f>
        <v>320</v>
      </c>
      <c r="B67" s="44"/>
      <c r="C67" s="67">
        <f t="shared" si="48"/>
        <v>45207760.151358433</v>
      </c>
      <c r="D67" s="67">
        <f t="shared" si="1"/>
        <v>8.4648805585317427E-2</v>
      </c>
      <c r="E67" s="67">
        <f t="shared" si="49"/>
        <v>1.3575625193598827E-2</v>
      </c>
      <c r="F67" s="67">
        <f t="shared" si="50"/>
        <v>306861.80382847734</v>
      </c>
      <c r="G67" s="67">
        <f>EDisponible!B80</f>
        <v>0.93702749488273851</v>
      </c>
      <c r="H67" s="67">
        <f t="shared" si="74"/>
        <v>0.13702749488273847</v>
      </c>
      <c r="I67" s="67">
        <f>IF(H67&lt;0, 0, 0.00035*(10*H67/((1/COS(M$1))-0.8))^(3/(1+1/(DATOS!E$6))))</f>
        <v>4.740865842675579E-2</v>
      </c>
      <c r="J67" s="67">
        <f t="shared" si="75"/>
        <v>1378481.433455704</v>
      </c>
      <c r="K67" s="67">
        <f t="shared" si="76"/>
        <v>39053349.066020072</v>
      </c>
      <c r="L67" s="11">
        <f t="shared" si="51"/>
        <v>9.7988597431958688E-2</v>
      </c>
      <c r="M67" s="67">
        <f t="shared" si="52"/>
        <v>1.3728640836341432E-2</v>
      </c>
      <c r="N67" s="67">
        <f t="shared" si="53"/>
        <v>268074.70139182982</v>
      </c>
      <c r="O67" s="67">
        <f>EDisponible!C80</f>
        <v>0.95329437606554968</v>
      </c>
      <c r="P67" s="67">
        <f t="shared" si="77"/>
        <v>0.15329437606554963</v>
      </c>
      <c r="Q67" s="67">
        <f>IF(P67&lt;0, 0, 0.00035*(10*P67/((1/COS(M$1))-0.8))^(3/(1+1/(DATOS!E$6))))</f>
        <v>6.3573378475032583E-2</v>
      </c>
      <c r="R67" s="67">
        <f t="shared" si="78"/>
        <v>1509451.3718376569</v>
      </c>
      <c r="S67" s="67">
        <f t="shared" si="79"/>
        <v>33561412.3955881</v>
      </c>
      <c r="T67" s="67">
        <f t="shared" si="54"/>
        <v>0.11402329719898975</v>
      </c>
      <c r="U67" s="67">
        <f t="shared" si="55"/>
        <v>1.3942150784223239E-2</v>
      </c>
      <c r="V67" s="67">
        <f t="shared" si="56"/>
        <v>233959.13607539408</v>
      </c>
      <c r="W67" s="67">
        <f>EDisponible!D80</f>
        <v>0.97043896045639944</v>
      </c>
      <c r="X67" s="67">
        <f t="shared" si="80"/>
        <v>0.17043896045639939</v>
      </c>
      <c r="Y67" s="67">
        <f>IF(X67&lt;0, 0, 0.00035*(10*X67/((1/COS(M$1))-0.8))^(3/(1+1/(DATOS!E$6))))</f>
        <v>8.3886976600046528E-2</v>
      </c>
      <c r="Z67" s="67">
        <f t="shared" si="81"/>
        <v>1641641.8442219994</v>
      </c>
      <c r="AA67" s="67">
        <f t="shared" si="82"/>
        <v>28680825.636531692</v>
      </c>
      <c r="AB67" s="67">
        <f t="shared" si="57"/>
        <v>0.13342652504137481</v>
      </c>
      <c r="AC67" s="67">
        <f t="shared" si="58"/>
        <v>1.4243699986821848E-2</v>
      </c>
      <c r="AD67" s="67">
        <f t="shared" si="83"/>
        <v>204260.53787055309</v>
      </c>
      <c r="AE67" s="67">
        <f>EDisponible!E80</f>
        <v>0.98854312750013973</v>
      </c>
      <c r="AF67" s="67">
        <f t="shared" si="84"/>
        <v>0.18854312750013968</v>
      </c>
      <c r="AG67" s="67">
        <f>IF(AF67&lt;0, 0, 0.00035*(10*AF67/((1/COS(M$1))-0.8))^(3/(1+1/(DATOS!E$6))))</f>
        <v>0.10923398812774723</v>
      </c>
      <c r="AH67" s="67">
        <f t="shared" si="85"/>
        <v>1770721.0214079986</v>
      </c>
      <c r="AI67" s="67">
        <f t="shared" si="86"/>
        <v>24362739.878355026</v>
      </c>
      <c r="AJ67" s="67">
        <f t="shared" si="59"/>
        <v>0.15707522713403388</v>
      </c>
      <c r="AK67" s="67">
        <f t="shared" si="60"/>
        <v>1.4675172487179021E-2</v>
      </c>
      <c r="AL67" s="67">
        <f t="shared" si="61"/>
        <v>178763.70498756744</v>
      </c>
      <c r="AM67" s="67">
        <f>EDisponible!F80</f>
        <v>1.007699865596998</v>
      </c>
      <c r="AN67" s="67">
        <f t="shared" si="87"/>
        <v>0.20769986559699793</v>
      </c>
      <c r="AO67" s="67">
        <f>IF(AN67&lt;0, 0, 0.00035*(10*AN67/((1/COS(M$1))-0.8))^(3/(1+1/(DATOS!E$6))))</f>
        <v>0.14069240677904937</v>
      </c>
      <c r="AP67" s="67">
        <f t="shared" si="88"/>
        <v>1892589.9595964141</v>
      </c>
      <c r="AQ67" s="67">
        <f t="shared" si="89"/>
        <v>20560560.387634456</v>
      </c>
      <c r="AR67" s="67">
        <f t="shared" si="62"/>
        <v>0.1861224999636443</v>
      </c>
      <c r="AS67" s="67">
        <f t="shared" si="63"/>
        <v>1.5301276982104491E-2</v>
      </c>
      <c r="AT67" s="67">
        <f t="shared" si="64"/>
        <v>157301.41469924024</v>
      </c>
      <c r="AU67" s="67">
        <f>EDisponible!G80</f>
        <v>1.0280152882181977</v>
      </c>
      <c r="AV67" s="67">
        <f t="shared" si="90"/>
        <v>0.22801528821819761</v>
      </c>
      <c r="AW67" s="67">
        <f>IF(AV67&lt;0, 0, 0.00035*(10*AV67/((1/COS(M$1))-0.8))^(3/(1+1/(DATOS!E$6))))</f>
        <v>0.17958345259700004</v>
      </c>
      <c r="AX67" s="67">
        <f t="shared" si="65"/>
        <v>2003469.6255694947</v>
      </c>
      <c r="AY67" s="67">
        <f t="shared" si="91"/>
        <v>17229924.583559897</v>
      </c>
      <c r="AZ67" s="67">
        <f t="shared" si="66"/>
        <v>0.22210096634151047</v>
      </c>
      <c r="BA67" s="67">
        <f t="shared" si="67"/>
        <v>1.622371600692863E-2</v>
      </c>
      <c r="BB67" s="67">
        <f t="shared" si="68"/>
        <v>139766.70163223692</v>
      </c>
      <c r="BC67" s="67">
        <f>EDisponible!H80</f>
        <v>1.0496111160558221</v>
      </c>
      <c r="BD67" s="67">
        <f t="shared" si="92"/>
        <v>0.24961111605582209</v>
      </c>
      <c r="BE67" s="67">
        <f>IF(BD67&lt;0, 0, 0.00035*(10*BD67/((1/COS(M$1))-0.8))^(3/(1+1/(DATOS!E$6))))</f>
        <v>0.22753636446808148</v>
      </c>
      <c r="BF67" s="67">
        <f t="shared" si="69"/>
        <v>2099983.9015334579</v>
      </c>
      <c r="BG67" s="67">
        <f t="shared" si="93"/>
        <v>14328679.362814168</v>
      </c>
      <c r="BH67" s="67">
        <f t="shared" si="70"/>
        <v>0.26707157045688934</v>
      </c>
      <c r="BI67" s="67">
        <f t="shared" si="71"/>
        <v>1.7605333563716324E-2</v>
      </c>
      <c r="BJ67" s="67">
        <f t="shared" si="72"/>
        <v>126130.58985494084</v>
      </c>
      <c r="BK67" s="67">
        <f>EDisponible!I80</f>
        <v>1.0726277581154366</v>
      </c>
      <c r="BL67" s="67">
        <f t="shared" si="94"/>
        <v>0.2726277581154366</v>
      </c>
      <c r="BM67" s="67">
        <f>IF(BL67&lt;0, 0, 0.00035*(10*BL67/((1/COS(M$1))-0.8))^(3/(1+1/(DATOS!E$6))))</f>
        <v>0.28657356777273252</v>
      </c>
      <c r="BN67" s="67">
        <f t="shared" si="73"/>
        <v>2179240.9730915311</v>
      </c>
    </row>
    <row r="68" spans="1:66">
      <c r="A68" s="41">
        <f>EDisponible!A81</f>
        <v>325</v>
      </c>
      <c r="B68" s="44"/>
      <c r="C68" s="67">
        <f t="shared" si="48"/>
        <v>46631539.706906587</v>
      </c>
      <c r="D68" s="67">
        <f t="shared" si="1"/>
        <v>8.2064262172179922E-2</v>
      </c>
      <c r="E68" s="67">
        <f t="shared" si="49"/>
        <v>1.3548563776849423E-2</v>
      </c>
      <c r="F68" s="67">
        <f t="shared" si="50"/>
        <v>315895.1948658551</v>
      </c>
      <c r="G68" s="67">
        <f>EDisponible!B81</f>
        <v>0.95166854949028123</v>
      </c>
      <c r="H68" s="67">
        <f t="shared" si="74"/>
        <v>0.15166854949028119</v>
      </c>
      <c r="I68" s="67">
        <f>IF(H68&lt;0, 0, 0.00035*(10*H68/((1/COS(M$1))-0.8))^(3/(1+1/(DATOS!E$6))))</f>
        <v>6.1825019143975792E-2</v>
      </c>
      <c r="J68" s="67">
        <f t="shared" si="75"/>
        <v>1757393.1124121386</v>
      </c>
      <c r="K68" s="67">
        <f t="shared" si="76"/>
        <v>40283300.733382516</v>
      </c>
      <c r="L68" s="11">
        <f t="shared" si="51"/>
        <v>9.4996756232261018E-2</v>
      </c>
      <c r="M68" s="67">
        <f t="shared" si="52"/>
        <v>1.3692378152518147E-2</v>
      </c>
      <c r="N68" s="67">
        <f t="shared" si="53"/>
        <v>275787.09343654249</v>
      </c>
      <c r="O68" s="67">
        <f>EDisponible!C81</f>
        <v>0.96818960069157389</v>
      </c>
      <c r="P68" s="67">
        <f t="shared" si="77"/>
        <v>0.16818960069157385</v>
      </c>
      <c r="Q68" s="67">
        <f>IF(P68&lt;0, 0, 0.00035*(10*P68/((1/COS(M$1))-0.8))^(3/(1+1/(DATOS!E$6))))</f>
        <v>8.1022279997395169E-2</v>
      </c>
      <c r="R68" s="67">
        <f t="shared" si="78"/>
        <v>1907709.5290562385</v>
      </c>
      <c r="S68" s="67">
        <f t="shared" si="79"/>
        <v>34618400.237148374</v>
      </c>
      <c r="T68" s="67">
        <f t="shared" si="54"/>
        <v>0.11054187581705609</v>
      </c>
      <c r="U68" s="67">
        <f t="shared" si="55"/>
        <v>1.3893049138198582E-2</v>
      </c>
      <c r="V68" s="67">
        <f t="shared" si="56"/>
        <v>240477.56779026391</v>
      </c>
      <c r="W68" s="67">
        <f>EDisponible!D81</f>
        <v>0.98560206921353066</v>
      </c>
      <c r="X68" s="67">
        <f t="shared" si="80"/>
        <v>0.18560206921353062</v>
      </c>
      <c r="Y68" s="67">
        <f>IF(X68&lt;0, 0, 0.00035*(10*X68/((1/COS(M$1))-0.8))^(3/(1+1/(DATOS!E$6))))</f>
        <v>0.10483353332662579</v>
      </c>
      <c r="Z68" s="67">
        <f t="shared" si="81"/>
        <v>2055062.1752780459</v>
      </c>
      <c r="AA68" s="67">
        <f t="shared" si="82"/>
        <v>29584103.592369724</v>
      </c>
      <c r="AB68" s="67">
        <f t="shared" si="57"/>
        <v>0.12935267374425355</v>
      </c>
      <c r="AC68" s="67">
        <f t="shared" si="58"/>
        <v>1.4176465327078502E-2</v>
      </c>
      <c r="AD68" s="67">
        <f t="shared" si="83"/>
        <v>209699.00940496399</v>
      </c>
      <c r="AE68" s="67">
        <f>EDisponible!E81</f>
        <v>1.0039891138673294</v>
      </c>
      <c r="AF68" s="67">
        <f t="shared" si="84"/>
        <v>0.20398911386732932</v>
      </c>
      <c r="AG68" s="67">
        <f>IF(AF68&lt;0, 0, 0.00035*(10*AF68/((1/COS(M$1))-0.8))^(3/(1+1/(DATOS!E$6))))</f>
        <v>0.13421288956937114</v>
      </c>
      <c r="AH68" s="67">
        <f t="shared" si="85"/>
        <v>2194983.0236307406</v>
      </c>
      <c r="AI68" s="67">
        <f t="shared" si="86"/>
        <v>25130023.434094232</v>
      </c>
      <c r="AJ68" s="67">
        <f t="shared" si="59"/>
        <v>0.15227932079076989</v>
      </c>
      <c r="AK68" s="67">
        <f t="shared" si="60"/>
        <v>1.4581992155217707E-2</v>
      </c>
      <c r="AL68" s="67">
        <f t="shared" si="61"/>
        <v>183222.90228819961</v>
      </c>
      <c r="AM68" s="67">
        <f>EDisponible!F81</f>
        <v>1.0234451759969512</v>
      </c>
      <c r="AN68" s="67">
        <f t="shared" si="87"/>
        <v>0.22344517599695113</v>
      </c>
      <c r="AO68" s="67">
        <f>IF(AN68&lt;0, 0, 0.00035*(10*AN68/((1/COS(M$1))-0.8))^(3/(1+1/(DATOS!E$6))))</f>
        <v>0.17032142492317601</v>
      </c>
      <c r="AP68" s="67">
        <f t="shared" si="88"/>
        <v>2323313.6021120669</v>
      </c>
      <c r="AQ68" s="67">
        <f t="shared" si="89"/>
        <v>21208097.567811422</v>
      </c>
      <c r="AR68" s="67">
        <f t="shared" si="62"/>
        <v>0.18043970647363006</v>
      </c>
      <c r="AS68" s="67">
        <f t="shared" si="63"/>
        <v>1.517044720090577E-2</v>
      </c>
      <c r="AT68" s="67">
        <f t="shared" si="64"/>
        <v>160868.16219207062</v>
      </c>
      <c r="AU68" s="67">
        <f>EDisponible!G81</f>
        <v>1.044078027096607</v>
      </c>
      <c r="AV68" s="67">
        <f t="shared" si="90"/>
        <v>0.24407802709660698</v>
      </c>
      <c r="AW68" s="67">
        <f>IF(AV68&lt;0, 0, 0.00035*(10*AV68/((1/COS(M$1))-0.8))^(3/(1+1/(DATOS!E$6))))</f>
        <v>0.2145800901168079</v>
      </c>
      <c r="AX68" s="67">
        <f t="shared" si="65"/>
        <v>2436285.9058455853</v>
      </c>
      <c r="AY68" s="67">
        <f t="shared" si="91"/>
        <v>17772566.251352675</v>
      </c>
      <c r="AZ68" s="67">
        <f t="shared" si="66"/>
        <v>0.21531965873013656</v>
      </c>
      <c r="BA68" s="67">
        <f t="shared" si="67"/>
        <v>1.6037417335918073E-2</v>
      </c>
      <c r="BB68" s="67">
        <f t="shared" si="68"/>
        <v>142513.03105159794</v>
      </c>
      <c r="BC68" s="67">
        <f>EDisponible!H81</f>
        <v>1.0660112897441945</v>
      </c>
      <c r="BD68" s="67">
        <f t="shared" si="92"/>
        <v>0.26601128974419441</v>
      </c>
      <c r="BE68" s="67">
        <f>IF(BD68&lt;0, 0, 0.00035*(10*BD68/((1/COS(M$1))-0.8))^(3/(1+1/(DATOS!E$6))))</f>
        <v>0.26873854889756249</v>
      </c>
      <c r="BF68" s="67">
        <f t="shared" si="69"/>
        <v>2530599.8633387526</v>
      </c>
      <c r="BG68" s="67">
        <f t="shared" si="93"/>
        <v>14779948.805637171</v>
      </c>
      <c r="BH68" s="67">
        <f t="shared" si="70"/>
        <v>0.25891719587962575</v>
      </c>
      <c r="BI68" s="67">
        <f t="shared" si="71"/>
        <v>1.7335954287964257E-2</v>
      </c>
      <c r="BJ68" s="67">
        <f t="shared" si="72"/>
        <v>128112.25843648896</v>
      </c>
      <c r="BK68" s="67">
        <f>EDisponible!I81</f>
        <v>1.0893875668359903</v>
      </c>
      <c r="BL68" s="67">
        <f t="shared" si="94"/>
        <v>0.28938756683599021</v>
      </c>
      <c r="BM68" s="67">
        <f>IF(BL68&lt;0, 0, 0.00035*(10*BL68/((1/COS(M$1))-0.8))^(3/(1+1/(DATOS!E$6))))</f>
        <v>0.33496560302158057</v>
      </c>
      <c r="BN68" s="67">
        <f t="shared" si="73"/>
        <v>2603499.4905906613</v>
      </c>
    </row>
    <row r="69" spans="1:66">
      <c r="A69" s="41">
        <f>EDisponible!A82</f>
        <v>330</v>
      </c>
      <c r="B69" s="44"/>
      <c r="C69" s="67">
        <f t="shared" si="48"/>
        <v>48077393.364091143</v>
      </c>
      <c r="D69" s="67">
        <f t="shared" si="1"/>
        <v>7.9596305711079021E-2</v>
      </c>
      <c r="E69" s="67">
        <f t="shared" si="49"/>
        <v>1.3523506224369234E-2</v>
      </c>
      <c r="F69" s="67">
        <f t="shared" si="50"/>
        <v>325087.46420536737</v>
      </c>
      <c r="G69" s="67">
        <f>EDisponible!B82</f>
        <v>0.96630960409782407</v>
      </c>
      <c r="H69" s="67">
        <f t="shared" si="74"/>
        <v>0.16630960409782403</v>
      </c>
      <c r="I69" s="67">
        <f>IF(H69&lt;0, 0, 0.00035*(10*H69/((1/COS(M$1))-0.8))^(3/(1+1/(DATOS!E$6))))</f>
        <v>7.8674981606231736E-2</v>
      </c>
      <c r="J69" s="67">
        <f t="shared" si="75"/>
        <v>2216331.4835030865</v>
      </c>
      <c r="K69" s="67">
        <f t="shared" si="76"/>
        <v>41532321.418843612</v>
      </c>
      <c r="L69" s="11">
        <f t="shared" si="51"/>
        <v>9.2139874903880342E-2</v>
      </c>
      <c r="M69" s="67">
        <f t="shared" si="52"/>
        <v>1.3658800675352455E-2</v>
      </c>
      <c r="N69" s="67">
        <f t="shared" si="53"/>
        <v>283640.8499223282</v>
      </c>
      <c r="O69" s="67">
        <f>EDisponible!C82</f>
        <v>0.98308482531759811</v>
      </c>
      <c r="P69" s="67">
        <f t="shared" si="77"/>
        <v>0.18308482531759807</v>
      </c>
      <c r="Q69" s="67">
        <f>IF(P69&lt;0, 0, 0.00035*(10*P69/((1/COS(M$1))-0.8))^(3/(1+1/(DATOS!E$6))))</f>
        <v>0.10115556497832225</v>
      </c>
      <c r="R69" s="67">
        <f t="shared" si="78"/>
        <v>2384253.568914528</v>
      </c>
      <c r="S69" s="67">
        <f t="shared" si="79"/>
        <v>35691775.487104923</v>
      </c>
      <c r="T69" s="67">
        <f t="shared" si="54"/>
        <v>0.10721749892724104</v>
      </c>
      <c r="U69" s="67">
        <f t="shared" si="55"/>
        <v>1.3847583408021927E-2</v>
      </c>
      <c r="V69" s="67">
        <f t="shared" si="56"/>
        <v>247122.41901903893</v>
      </c>
      <c r="W69" s="67">
        <f>EDisponible!D82</f>
        <v>1.0007651779706619</v>
      </c>
      <c r="X69" s="67">
        <f t="shared" si="80"/>
        <v>0.20076517797066185</v>
      </c>
      <c r="Y69" s="67">
        <f>IF(X69&lt;0, 0, 0.00035*(10*X69/((1/COS(M$1))-0.8))^(3/(1+1/(DATOS!E$6))))</f>
        <v>0.12873582430871935</v>
      </c>
      <c r="Z69" s="67">
        <f t="shared" si="81"/>
        <v>2544527.4882061365</v>
      </c>
      <c r="AA69" s="67">
        <f t="shared" si="82"/>
        <v>30501385.8576006</v>
      </c>
      <c r="AB69" s="67">
        <f t="shared" si="57"/>
        <v>0.12546259103982352</v>
      </c>
      <c r="AC69" s="67">
        <f t="shared" si="58"/>
        <v>1.4114209310307189E-2</v>
      </c>
      <c r="AD69" s="67">
        <f t="shared" si="83"/>
        <v>215251.47212430919</v>
      </c>
      <c r="AE69" s="67">
        <f>EDisponible!E82</f>
        <v>1.019435100234519</v>
      </c>
      <c r="AF69" s="67">
        <f t="shared" si="84"/>
        <v>0.21943510023451895</v>
      </c>
      <c r="AG69" s="67">
        <f>IF(AF69&lt;0, 0, 0.00035*(10*AF69/((1/COS(M$1))-0.8))^(3/(1+1/(DATOS!E$6))))</f>
        <v>0.16244246861393186</v>
      </c>
      <c r="AH69" s="67">
        <f t="shared" si="85"/>
        <v>2692611.6795516643</v>
      </c>
      <c r="AI69" s="67">
        <f t="shared" si="86"/>
        <v>25909202.85891467</v>
      </c>
      <c r="AJ69" s="67">
        <f t="shared" si="59"/>
        <v>0.14769975444008329</v>
      </c>
      <c r="AK69" s="67">
        <f t="shared" si="60"/>
        <v>1.4495711711002111E-2</v>
      </c>
      <c r="AL69" s="67">
        <f t="shared" si="61"/>
        <v>187786.16765234937</v>
      </c>
      <c r="AM69" s="67">
        <f>EDisponible!F82</f>
        <v>1.0391904863969044</v>
      </c>
      <c r="AN69" s="67">
        <f t="shared" si="87"/>
        <v>0.23919048639690432</v>
      </c>
      <c r="AO69" s="67">
        <f>IF(AN69&lt;0, 0, 0.00035*(10*AN69/((1/COS(M$1))-0.8))^(3/(1+1/(DATOS!E$6))))</f>
        <v>0.20352316089245079</v>
      </c>
      <c r="AP69" s="67">
        <f t="shared" si="88"/>
        <v>2824347.5986773674</v>
      </c>
      <c r="AQ69" s="67">
        <f t="shared" si="89"/>
        <v>21865674.084115159</v>
      </c>
      <c r="AR69" s="67">
        <f t="shared" si="62"/>
        <v>0.17501325983725596</v>
      </c>
      <c r="AS69" s="67">
        <f t="shared" si="63"/>
        <v>1.5049305202365335E-2</v>
      </c>
      <c r="AT69" s="67">
        <f t="shared" si="64"/>
        <v>164531.60137364958</v>
      </c>
      <c r="AU69" s="67">
        <f>EDisponible!G82</f>
        <v>1.0601407659750164</v>
      </c>
      <c r="AV69" s="67">
        <f t="shared" si="90"/>
        <v>0.26014076597501634</v>
      </c>
      <c r="AW69" s="67">
        <f>IF(AV69&lt;0, 0, 0.00035*(10*AV69/((1/COS(M$1))-0.8))^(3/(1+1/(DATOS!E$6))))</f>
        <v>0.25350268557957156</v>
      </c>
      <c r="AX69" s="67">
        <f t="shared" si="65"/>
        <v>2936035.1525390656</v>
      </c>
      <c r="AY69" s="67">
        <f t="shared" si="91"/>
        <v>18323620.968258522</v>
      </c>
      <c r="AZ69" s="67">
        <f t="shared" si="66"/>
        <v>0.20884425117879404</v>
      </c>
      <c r="BA69" s="67">
        <f t="shared" si="67"/>
        <v>1.586491384990088E-2</v>
      </c>
      <c r="BB69" s="67">
        <f t="shared" si="68"/>
        <v>145351.33403982941</v>
      </c>
      <c r="BC69" s="67">
        <f>EDisponible!H82</f>
        <v>1.0824114634325666</v>
      </c>
      <c r="BD69" s="67">
        <f t="shared" si="92"/>
        <v>0.28241146343256651</v>
      </c>
      <c r="BE69" s="67">
        <f>IF(BD69&lt;0, 0, 0.00035*(10*BD69/((1/COS(M$1))-0.8))^(3/(1+1/(DATOS!E$6))))</f>
        <v>0.31425598031708685</v>
      </c>
      <c r="BF69" s="67">
        <f t="shared" si="69"/>
        <v>3024505.0692092348</v>
      </c>
      <c r="BG69" s="67">
        <f t="shared" si="93"/>
        <v>15238214.6739303</v>
      </c>
      <c r="BH69" s="67">
        <f t="shared" si="70"/>
        <v>0.25113065945624857</v>
      </c>
      <c r="BI69" s="67">
        <f t="shared" si="71"/>
        <v>1.7086522212706002E-2</v>
      </c>
      <c r="BJ69" s="67">
        <f t="shared" si="72"/>
        <v>130184.04675404631</v>
      </c>
      <c r="BK69" s="67">
        <f>EDisponible!I82</f>
        <v>1.1061473755565439</v>
      </c>
      <c r="BL69" s="67">
        <f t="shared" si="94"/>
        <v>0.30614737555654381</v>
      </c>
      <c r="BM69" s="67">
        <f>IF(BL69&lt;0, 0, 0.00035*(10*BL69/((1/COS(M$1))-0.8))^(3/(1+1/(DATOS!E$6))))</f>
        <v>0.38810400570595377</v>
      </c>
      <c r="BN69" s="67">
        <f t="shared" si="73"/>
        <v>3087190.1241338435</v>
      </c>
    </row>
    <row r="70" spans="1:66">
      <c r="A70" s="41">
        <f>EDisponible!A83</f>
        <v>335</v>
      </c>
      <c r="B70" s="44"/>
      <c r="C70" s="67">
        <f t="shared" si="48"/>
        <v>49545321.122912109</v>
      </c>
      <c r="D70" s="67">
        <f t="shared" si="1"/>
        <v>7.7238027996761022E-2</v>
      </c>
      <c r="E70" s="67">
        <f t="shared" si="49"/>
        <v>1.350027708364617E-2</v>
      </c>
      <c r="F70" s="67">
        <f t="shared" si="50"/>
        <v>334437.78167877044</v>
      </c>
      <c r="G70" s="67">
        <f>EDisponible!B83</f>
        <v>0.9809506587053668</v>
      </c>
      <c r="H70" s="67">
        <f t="shared" si="74"/>
        <v>0.18095065870536675</v>
      </c>
      <c r="I70" s="67">
        <f>IF(H70&lt;0, 0, 0.00035*(10*H70/((1/COS(M$1))-0.8))^(3/(1+1/(DATOS!E$6))))</f>
        <v>9.810062325969196E-2</v>
      </c>
      <c r="J70" s="67">
        <f t="shared" si="75"/>
        <v>2764651.2225583997</v>
      </c>
      <c r="K70" s="67">
        <f t="shared" si="76"/>
        <v>42800411.122403346</v>
      </c>
      <c r="L70" s="11">
        <f t="shared" si="51"/>
        <v>8.9409956578592728E-2</v>
      </c>
      <c r="M70" s="67">
        <f t="shared" si="52"/>
        <v>1.3627673295979545E-2</v>
      </c>
      <c r="N70" s="67">
        <f t="shared" si="53"/>
        <v>291635.00985486101</v>
      </c>
      <c r="O70" s="67">
        <f>EDisponible!C83</f>
        <v>0.99798004994362233</v>
      </c>
      <c r="P70" s="67">
        <f t="shared" si="77"/>
        <v>0.19798004994362228</v>
      </c>
      <c r="Q70" s="67">
        <f>IF(P70&lt;0, 0, 0.00035*(10*P70/((1/COS(M$1))-0.8))^(3/(1+1/(DATOS!E$6))))</f>
        <v>0.12411720521572409</v>
      </c>
      <c r="R70" s="67">
        <f t="shared" si="78"/>
        <v>2947768.7151532089</v>
      </c>
      <c r="S70" s="67">
        <f t="shared" si="79"/>
        <v>36781538.145457759</v>
      </c>
      <c r="T70" s="67">
        <f t="shared" si="54"/>
        <v>0.1040408610663983</v>
      </c>
      <c r="U70" s="67">
        <f t="shared" si="55"/>
        <v>1.3805435243504041E-2</v>
      </c>
      <c r="V70" s="67">
        <f t="shared" si="56"/>
        <v>253892.57151179542</v>
      </c>
      <c r="W70" s="67">
        <f>EDisponible!D83</f>
        <v>1.0159282867277932</v>
      </c>
      <c r="X70" s="67">
        <f t="shared" si="80"/>
        <v>0.21592828672779318</v>
      </c>
      <c r="Y70" s="67">
        <f>IF(X70&lt;0, 0, 0.00035*(10*X70/((1/COS(M$1))-0.8))^(3/(1+1/(DATOS!E$6))))</f>
        <v>0.15574025785735557</v>
      </c>
      <c r="Z70" s="67">
        <f t="shared" si="81"/>
        <v>3118075.6890936708</v>
      </c>
      <c r="AA70" s="67">
        <f t="shared" si="82"/>
        <v>31432672.432224307</v>
      </c>
      <c r="AB70" s="67">
        <f t="shared" si="57"/>
        <v>0.12174538796379399</v>
      </c>
      <c r="AC70" s="67">
        <f t="shared" si="58"/>
        <v>1.4056496021047121E-2</v>
      </c>
      <c r="AD70" s="67">
        <f t="shared" si="83"/>
        <v>220916.61748721925</v>
      </c>
      <c r="AE70" s="67">
        <f>EDisponible!E83</f>
        <v>1.0348810866017089</v>
      </c>
      <c r="AF70" s="67">
        <f t="shared" si="84"/>
        <v>0.23488108660170881</v>
      </c>
      <c r="AG70" s="67">
        <f>IF(AF70&lt;0, 0, 0.00035*(10*AF70/((1/COS(M$1))-0.8))^(3/(1+1/(DATOS!E$6))))</f>
        <v>0.19407211657893769</v>
      </c>
      <c r="AH70" s="67">
        <f t="shared" si="85"/>
        <v>3271019.2518143174</v>
      </c>
      <c r="AI70" s="67">
        <f t="shared" si="86"/>
        <v>26700278.152816337</v>
      </c>
      <c r="AJ70" s="67">
        <f t="shared" si="59"/>
        <v>0.14332370914257134</v>
      </c>
      <c r="AK70" s="67">
        <f t="shared" si="60"/>
        <v>1.4415727020481462E-2</v>
      </c>
      <c r="AL70" s="67">
        <f t="shared" si="61"/>
        <v>192451.96061096265</v>
      </c>
      <c r="AM70" s="67">
        <f>EDisponible!F83</f>
        <v>1.0549357967968573</v>
      </c>
      <c r="AN70" s="67">
        <f t="shared" si="87"/>
        <v>0.25493579679685729</v>
      </c>
      <c r="AO70" s="67">
        <f>IF(AN70&lt;0, 0, 0.00035*(10*AN70/((1/COS(M$1))-0.8))^(3/(1+1/(DATOS!E$6))))</f>
        <v>0.24045055376138152</v>
      </c>
      <c r="AP70" s="67">
        <f t="shared" si="88"/>
        <v>3402500.294324765</v>
      </c>
      <c r="AQ70" s="67">
        <f t="shared" si="89"/>
        <v>22533289.936545674</v>
      </c>
      <c r="AR70" s="67">
        <f t="shared" si="62"/>
        <v>0.16982797056161439</v>
      </c>
      <c r="AS70" s="67">
        <f t="shared" si="63"/>
        <v>1.4937002752483443E-2</v>
      </c>
      <c r="AT70" s="67">
        <f t="shared" si="64"/>
        <v>168289.9069023451</v>
      </c>
      <c r="AU70" s="67">
        <f>EDisponible!G83</f>
        <v>1.0762035048534258</v>
      </c>
      <c r="AV70" s="67">
        <f t="shared" si="90"/>
        <v>0.27620350485342571</v>
      </c>
      <c r="AW70" s="67">
        <f>IF(AV70&lt;0, 0, 0.00035*(10*AV70/((1/COS(M$1))-0.8))^(3/(1+1/(DATOS!E$6))))</f>
        <v>0.29650832229199725</v>
      </c>
      <c r="AX70" s="67">
        <f t="shared" si="65"/>
        <v>3508943.9043044965</v>
      </c>
      <c r="AY70" s="67">
        <f t="shared" si="91"/>
        <v>18883088.734277435</v>
      </c>
      <c r="AZ70" s="67">
        <f t="shared" si="66"/>
        <v>0.20265661798503606</v>
      </c>
      <c r="BA70" s="67">
        <f t="shared" si="67"/>
        <v>1.5704997682706133E-2</v>
      </c>
      <c r="BB70" s="67">
        <f t="shared" si="68"/>
        <v>148279.43240708069</v>
      </c>
      <c r="BC70" s="67">
        <f>EDisponible!H83</f>
        <v>1.0988116371209389</v>
      </c>
      <c r="BD70" s="67">
        <f t="shared" si="92"/>
        <v>0.29881163712093883</v>
      </c>
      <c r="BE70" s="67">
        <f>IF(BD70&lt;0, 0, 0.00035*(10*BD70/((1/COS(M$1))-0.8))^(3/(1+1/(DATOS!E$6))))</f>
        <v>0.36425052840396765</v>
      </c>
      <c r="BF70" s="67">
        <f t="shared" si="69"/>
        <v>3587366.9570868625</v>
      </c>
      <c r="BG70" s="67">
        <f t="shared" si="93"/>
        <v>15703476.967693554</v>
      </c>
      <c r="BH70" s="67">
        <f t="shared" si="70"/>
        <v>0.24369016542468674</v>
      </c>
      <c r="BI70" s="67">
        <f t="shared" si="71"/>
        <v>1.685529081923285E-2</v>
      </c>
      <c r="BJ70" s="67">
        <f t="shared" si="72"/>
        <v>132343.33558179985</v>
      </c>
      <c r="BK70" s="67">
        <f>EDisponible!I83</f>
        <v>1.1229071842770977</v>
      </c>
      <c r="BL70" s="67">
        <f t="shared" si="94"/>
        <v>0.32290718427709764</v>
      </c>
      <c r="BM70" s="67">
        <f>IF(BL70&lt;0, 0, 0.00035*(10*BL70/((1/COS(M$1))-0.8))^(3/(1+1/(DATOS!E$6))))</f>
        <v>0.44615613495306072</v>
      </c>
      <c r="BN70" s="67">
        <f t="shared" si="73"/>
        <v>3635444.6301970831</v>
      </c>
    </row>
    <row r="71" spans="1:66">
      <c r="A71" s="41">
        <f>EDisponible!A84</f>
        <v>340</v>
      </c>
      <c r="B71" s="44"/>
      <c r="C71" s="67">
        <f t="shared" si="48"/>
        <v>51035322.983369485</v>
      </c>
      <c r="D71" s="67">
        <f t="shared" ref="D71" si="95">2*C$4/C71</f>
        <v>7.4983025016751761E-2</v>
      </c>
      <c r="E71" s="67">
        <f t="shared" si="49"/>
        <v>1.3478718565939848E-2</v>
      </c>
      <c r="F71" s="67">
        <f t="shared" si="50"/>
        <v>343945.37770733942</v>
      </c>
      <c r="G71" s="67">
        <f>EDisponible!B84</f>
        <v>0.99559171331290963</v>
      </c>
      <c r="H71" s="67">
        <f t="shared" si="74"/>
        <v>0.19559171331290959</v>
      </c>
      <c r="I71" s="67">
        <f>IF(H71&lt;0, 0, 0.00035*(10*H71/((1/COS(M$1))-0.8))^(3/(1+1/(DATOS!E$6))))</f>
        <v>0.12023927578865588</v>
      </c>
      <c r="J71" s="67">
        <f t="shared" si="75"/>
        <v>3412170.5152875851</v>
      </c>
      <c r="K71" s="67">
        <f t="shared" si="76"/>
        <v>44087569.844061717</v>
      </c>
      <c r="L71" s="11">
        <f t="shared" si="51"/>
        <v>8.6799588036613931E-2</v>
      </c>
      <c r="M71" s="67">
        <f t="shared" si="52"/>
        <v>1.3598784575240257E-2</v>
      </c>
      <c r="N71" s="67">
        <f t="shared" si="53"/>
        <v>299768.682377627</v>
      </c>
      <c r="O71" s="67">
        <f>EDisponible!C84</f>
        <v>1.0128752745696465</v>
      </c>
      <c r="P71" s="67">
        <f t="shared" si="77"/>
        <v>0.2128752745696465</v>
      </c>
      <c r="Q71" s="67">
        <f>IF(P71&lt;0, 0, 0.00035*(10*P71/((1/COS(M$1))-0.8))^(3/(1+1/(DATOS!E$6))))</f>
        <v>0.1500467247190248</v>
      </c>
      <c r="R71" s="67">
        <f t="shared" si="78"/>
        <v>3607366.4103389806</v>
      </c>
      <c r="S71" s="67">
        <f t="shared" si="79"/>
        <v>37887688.212206878</v>
      </c>
      <c r="T71" s="67">
        <f t="shared" si="54"/>
        <v>0.10100333592713279</v>
      </c>
      <c r="U71" s="67">
        <f t="shared" si="55"/>
        <v>1.3766318344524414E-2</v>
      </c>
      <c r="V71" s="67">
        <f t="shared" si="56"/>
        <v>260786.98863366246</v>
      </c>
      <c r="W71" s="67">
        <f>EDisponible!D84</f>
        <v>1.0310913954849243</v>
      </c>
      <c r="X71" s="67">
        <f t="shared" si="80"/>
        <v>0.2310913954849243</v>
      </c>
      <c r="Y71" s="67">
        <f>IF(X71&lt;0, 0, 0.00035*(10*X71/((1/COS(M$1))-0.8))^(3/(1+1/(DATOS!E$6))))</f>
        <v>0.18598904030827071</v>
      </c>
      <c r="Z71" s="67">
        <f t="shared" si="81"/>
        <v>3784134.3736773315</v>
      </c>
      <c r="AA71" s="67">
        <f t="shared" si="82"/>
        <v>32377963.316240858</v>
      </c>
      <c r="AB71" s="67">
        <f t="shared" si="57"/>
        <v>0.11819097027886487</v>
      </c>
      <c r="AC71" s="67">
        <f t="shared" si="58"/>
        <v>1.4002933429850289E-2</v>
      </c>
      <c r="AD71" s="67">
        <f t="shared" si="83"/>
        <v>226693.23245572773</v>
      </c>
      <c r="AE71" s="67">
        <f>EDisponible!E84</f>
        <v>1.0503270729688985</v>
      </c>
      <c r="AF71" s="67">
        <f t="shared" si="84"/>
        <v>0.25032707296889845</v>
      </c>
      <c r="AG71" s="67">
        <f>IF(AF71&lt;0, 0, 0.00035*(10*AF71/((1/COS(M$1))-0.8))^(3/(1+1/(DATOS!E$6))))</f>
        <v>0.22924722614788079</v>
      </c>
      <c r="AH71" s="67">
        <f t="shared" si="85"/>
        <v>3937972.3717387561</v>
      </c>
      <c r="AI71" s="67">
        <f t="shared" si="86"/>
        <v>27503249.315799229</v>
      </c>
      <c r="AJ71" s="67">
        <f t="shared" si="59"/>
        <v>0.13913930154433449</v>
      </c>
      <c r="AK71" s="67">
        <f t="shared" si="60"/>
        <v>1.4341494771110663E-2</v>
      </c>
      <c r="AL71" s="67">
        <f t="shared" si="61"/>
        <v>197218.85312554377</v>
      </c>
      <c r="AM71" s="67">
        <f>EDisponible!F84</f>
        <v>1.0706811071968105</v>
      </c>
      <c r="AN71" s="67">
        <f t="shared" si="87"/>
        <v>0.27068110719681049</v>
      </c>
      <c r="AO71" s="67">
        <f>IF(AN71&lt;0, 0, 0.00035*(10*AN71/((1/COS(M$1))-0.8))^(3/(1+1/(DATOS!E$6))))</f>
        <v>0.28125271199990448</v>
      </c>
      <c r="AP71" s="67">
        <f t="shared" si="88"/>
        <v>4064900.5825645695</v>
      </c>
      <c r="AQ71" s="67">
        <f t="shared" si="89"/>
        <v>23210945.12510296</v>
      </c>
      <c r="AR71" s="67">
        <f t="shared" si="62"/>
        <v>0.16486975775326276</v>
      </c>
      <c r="AS71" s="67">
        <f t="shared" si="63"/>
        <v>1.4832777013653682E-2</v>
      </c>
      <c r="AT71" s="67">
        <f t="shared" si="64"/>
        <v>172141.3866584021</v>
      </c>
      <c r="AU71" s="67">
        <f>EDisponible!G84</f>
        <v>1.0922662437318351</v>
      </c>
      <c r="AV71" s="67">
        <f t="shared" si="90"/>
        <v>0.29226624373183507</v>
      </c>
      <c r="AW71" s="67">
        <f>IF(AV71&lt;0, 0, 0.00035*(10*AV71/((1/COS(M$1))-0.8))^(3/(1+1/(DATOS!E$6))))</f>
        <v>0.34375039101234928</v>
      </c>
      <c r="AX71" s="67">
        <f t="shared" si="65"/>
        <v>4161527.1179185649</v>
      </c>
      <c r="AY71" s="67">
        <f t="shared" si="91"/>
        <v>19450969.549409412</v>
      </c>
      <c r="AZ71" s="67">
        <f t="shared" si="66"/>
        <v>0.19673995634403699</v>
      </c>
      <c r="BA71" s="67">
        <f t="shared" si="67"/>
        <v>1.5556582570709692E-2</v>
      </c>
      <c r="BB71" s="67">
        <f t="shared" si="68"/>
        <v>151295.30693787371</v>
      </c>
      <c r="BC71" s="67">
        <f>EDisponible!H84</f>
        <v>1.115211810809311</v>
      </c>
      <c r="BD71" s="67">
        <f t="shared" si="92"/>
        <v>0.31521181080931093</v>
      </c>
      <c r="BE71" s="67">
        <f>IF(BD71&lt;0, 0, 0.00035*(10*BD71/((1/COS(M$1))-0.8))^(3/(1+1/(DATOS!E$6))))</f>
        <v>0.41888048235679293</v>
      </c>
      <c r="BF71" s="67">
        <f t="shared" si="69"/>
        <v>4225111.0605198266</v>
      </c>
      <c r="BG71" s="67">
        <f t="shared" si="93"/>
        <v>16175735.686926933</v>
      </c>
      <c r="BH71" s="67">
        <f t="shared" si="70"/>
        <v>0.23657550877842098</v>
      </c>
      <c r="BI71" s="67">
        <f t="shared" si="71"/>
        <v>1.6640689420503615E-2</v>
      </c>
      <c r="BJ71" s="67">
        <f t="shared" si="72"/>
        <v>134587.6968571539</v>
      </c>
      <c r="BK71" s="67">
        <f>EDisponible!I84</f>
        <v>1.1396669929976513</v>
      </c>
      <c r="BL71" s="67">
        <f t="shared" si="94"/>
        <v>0.33966699299765124</v>
      </c>
      <c r="BM71" s="67">
        <f>IF(BL71&lt;0, 0, 0.00035*(10*BL71/((1/COS(M$1))-0.8))^(3/(1+1/(DATOS!E$6))))</f>
        <v>0.50928585844650409</v>
      </c>
      <c r="BN71" s="67">
        <f t="shared" si="73"/>
        <v>4253624.4145173207</v>
      </c>
    </row>
    <row r="72" spans="1:66">
      <c r="A72" s="41"/>
      <c r="B72" s="66"/>
      <c r="C72" s="66"/>
      <c r="D72" s="66"/>
      <c r="E72" s="66"/>
      <c r="F72" s="66"/>
      <c r="I72" s="65"/>
      <c r="J72" s="65"/>
    </row>
    <row r="73" spans="1:66">
      <c r="A73" s="41"/>
      <c r="B73" s="66"/>
      <c r="C73" s="66"/>
      <c r="D73" s="66"/>
      <c r="E73" s="66"/>
      <c r="F73" s="66"/>
      <c r="I73" s="65"/>
      <c r="J73" s="65"/>
    </row>
    <row r="74" spans="1:66">
      <c r="A74" s="41"/>
      <c r="B74" s="66"/>
      <c r="C74" s="66"/>
      <c r="D74" s="66"/>
      <c r="E74" s="66"/>
      <c r="F74" s="66"/>
      <c r="I74" s="65"/>
      <c r="J74" s="65"/>
    </row>
    <row r="75" spans="1:66">
      <c r="A75" s="41"/>
      <c r="B75" s="66"/>
      <c r="C75" s="66"/>
      <c r="D75" s="66"/>
      <c r="E75" s="66"/>
      <c r="F75" s="66"/>
      <c r="I75" s="65"/>
      <c r="J75" s="65"/>
    </row>
    <row r="76" spans="1:66">
      <c r="A76" s="41"/>
      <c r="B76" s="66"/>
      <c r="C76" s="66"/>
      <c r="D76" s="66"/>
      <c r="E76" s="66"/>
      <c r="F76" s="66"/>
      <c r="I76" s="65"/>
      <c r="J76" s="65"/>
    </row>
    <row r="77" spans="1:66">
      <c r="A77" s="41"/>
      <c r="B77" s="66"/>
      <c r="C77" s="66"/>
      <c r="D77" s="66"/>
      <c r="E77" s="66"/>
      <c r="F77" s="66"/>
      <c r="I77" s="65"/>
      <c r="J77" s="65"/>
    </row>
    <row r="78" spans="1:66">
      <c r="A78" s="41"/>
      <c r="B78" s="66"/>
      <c r="C78" s="66"/>
      <c r="D78" s="66"/>
      <c r="E78" s="66"/>
      <c r="F78" s="66"/>
      <c r="I78" s="65"/>
      <c r="J78" s="65"/>
    </row>
    <row r="79" spans="1:66">
      <c r="A79" s="41"/>
      <c r="B79" s="66"/>
      <c r="C79" s="66"/>
      <c r="D79" s="66"/>
      <c r="E79" s="66"/>
      <c r="F79" s="66"/>
      <c r="I79" s="65"/>
      <c r="J79" s="65"/>
    </row>
    <row r="80" spans="1:66">
      <c r="A80" s="41"/>
      <c r="B80" s="66"/>
      <c r="C80" s="66"/>
      <c r="D80" s="66"/>
      <c r="E80" s="66"/>
      <c r="F80" s="66"/>
      <c r="I80" s="65"/>
      <c r="J80" s="65"/>
    </row>
    <row r="81" spans="1:10">
      <c r="A81" s="41"/>
      <c r="B81" s="66"/>
      <c r="C81" s="66"/>
      <c r="D81" s="66"/>
      <c r="E81" s="66"/>
      <c r="F81" s="66"/>
      <c r="I81" s="65"/>
      <c r="J81" s="65"/>
    </row>
    <row r="82" spans="1:10" ht="15" customHeight="1">
      <c r="A82" s="41"/>
      <c r="B82" s="66"/>
      <c r="C82" s="66"/>
      <c r="D82" s="66"/>
      <c r="E82" s="66"/>
      <c r="F82" s="66"/>
    </row>
    <row r="83" spans="1:10">
      <c r="A83" s="41"/>
      <c r="B83" s="66"/>
      <c r="C83" s="66"/>
      <c r="D83" s="66"/>
      <c r="E83" s="66"/>
      <c r="F83" s="66"/>
    </row>
    <row r="84" spans="1:10">
      <c r="A84" s="41"/>
      <c r="B84" s="66"/>
      <c r="C84" s="66"/>
      <c r="D84" s="66"/>
      <c r="E84" s="66"/>
      <c r="F84" s="66"/>
    </row>
    <row r="85" spans="1:10">
      <c r="A85" s="41"/>
      <c r="B85" s="66"/>
      <c r="C85" s="66"/>
      <c r="D85" s="66"/>
      <c r="E85" s="66"/>
      <c r="F85" s="66"/>
    </row>
    <row r="86" spans="1:10">
      <c r="A86" s="66"/>
      <c r="B86" s="66"/>
      <c r="C86" s="66"/>
      <c r="D86" s="66"/>
      <c r="E86" s="66"/>
      <c r="F86" s="66"/>
    </row>
    <row r="87" spans="1:10">
      <c r="A87" s="66"/>
      <c r="B87" s="66"/>
      <c r="C87" s="66"/>
      <c r="D87" s="66"/>
      <c r="E87" s="66"/>
      <c r="F87" s="66"/>
      <c r="I87" s="65"/>
      <c r="J87" s="65"/>
    </row>
    <row r="88" spans="1:10">
      <c r="A88" s="66"/>
      <c r="B88" s="66"/>
      <c r="C88" s="66"/>
      <c r="D88" s="66"/>
      <c r="E88" s="66"/>
      <c r="F88" s="66"/>
      <c r="I88" s="65"/>
      <c r="J88" s="65"/>
    </row>
    <row r="89" spans="1:10">
      <c r="A89" s="66"/>
      <c r="B89" s="66"/>
      <c r="C89" s="66"/>
      <c r="D89" s="66"/>
      <c r="E89" s="66"/>
      <c r="F89" s="66"/>
      <c r="I89" s="65"/>
      <c r="J89" s="65"/>
    </row>
    <row r="90" spans="1:10">
      <c r="A90" s="66"/>
      <c r="B90" s="66"/>
      <c r="C90" s="66"/>
      <c r="D90" s="66"/>
      <c r="E90" s="66"/>
      <c r="F90" s="66"/>
      <c r="I90" s="65"/>
      <c r="J90" s="65"/>
    </row>
    <row r="91" spans="1:10">
      <c r="A91" s="66"/>
      <c r="B91" s="66"/>
      <c r="C91" s="66"/>
      <c r="D91" s="66"/>
      <c r="E91" s="66"/>
      <c r="F91" s="66"/>
      <c r="I91" s="65"/>
      <c r="J91" s="65"/>
    </row>
    <row r="92" spans="1:10">
      <c r="A92" s="66"/>
      <c r="B92" s="66"/>
      <c r="C92" s="66"/>
      <c r="D92" s="66"/>
      <c r="E92" s="66"/>
      <c r="F92" s="66"/>
      <c r="I92" s="65"/>
      <c r="J92" s="65"/>
    </row>
    <row r="93" spans="1:10">
      <c r="A93" s="66"/>
      <c r="B93" s="66"/>
      <c r="C93" s="66"/>
      <c r="D93" s="66"/>
      <c r="E93" s="66"/>
      <c r="F93" s="66"/>
      <c r="I93" s="65"/>
      <c r="J93" s="65"/>
    </row>
    <row r="94" spans="1:10">
      <c r="A94" s="66"/>
      <c r="B94" s="66"/>
      <c r="C94" s="66"/>
      <c r="D94" s="66"/>
      <c r="E94" s="66"/>
      <c r="F94" s="66"/>
      <c r="I94" s="65"/>
      <c r="J94" s="65"/>
    </row>
    <row r="95" spans="1:10">
      <c r="A95" s="66"/>
      <c r="B95" s="66"/>
      <c r="C95" s="66"/>
      <c r="D95" s="66"/>
      <c r="E95" s="66"/>
      <c r="F95" s="66"/>
      <c r="I95" s="65"/>
      <c r="J95" s="65"/>
    </row>
    <row r="96" spans="1:10">
      <c r="A96" s="66"/>
      <c r="B96" s="66"/>
      <c r="C96" s="66"/>
      <c r="D96" s="66"/>
      <c r="E96" s="66"/>
      <c r="F96" s="66"/>
      <c r="I96" s="65"/>
      <c r="J96" s="65"/>
    </row>
    <row r="97" spans="1:34">
      <c r="A97" s="66"/>
      <c r="B97" s="66"/>
      <c r="C97" s="66"/>
      <c r="D97" s="66"/>
      <c r="E97" s="66"/>
      <c r="F97" s="66"/>
      <c r="I97" s="65"/>
      <c r="J97" s="65"/>
    </row>
    <row r="98" spans="1:34">
      <c r="A98" s="66"/>
      <c r="B98" s="66"/>
      <c r="C98" s="66"/>
      <c r="D98" s="66"/>
      <c r="E98" s="66"/>
      <c r="F98" s="66"/>
      <c r="I98" s="65"/>
      <c r="J98" s="65"/>
    </row>
    <row r="99" spans="1:34">
      <c r="A99" s="66"/>
      <c r="B99" s="66"/>
      <c r="C99" s="66"/>
      <c r="D99" s="66"/>
      <c r="E99" s="66"/>
      <c r="F99" s="66"/>
      <c r="I99" s="65"/>
      <c r="J99" s="65"/>
    </row>
    <row r="100" spans="1:34">
      <c r="A100" s="66"/>
      <c r="B100" s="66"/>
      <c r="C100" s="66"/>
      <c r="D100" s="66"/>
      <c r="E100" s="66"/>
      <c r="F100" s="66"/>
      <c r="I100" s="65"/>
      <c r="J100" s="65"/>
    </row>
    <row r="101" spans="1:34">
      <c r="A101" s="66"/>
      <c r="B101" s="66"/>
      <c r="C101" s="66"/>
      <c r="D101" s="66"/>
      <c r="E101" s="66"/>
      <c r="F101" s="66"/>
      <c r="I101" s="65"/>
      <c r="J101" s="65"/>
    </row>
    <row r="102" spans="1:34">
      <c r="A102" s="66"/>
      <c r="B102" s="66"/>
      <c r="C102" s="66"/>
      <c r="D102" s="66"/>
      <c r="E102" s="66"/>
      <c r="F102" s="66"/>
      <c r="I102" s="65"/>
      <c r="J102" s="65"/>
    </row>
    <row r="103" spans="1:34">
      <c r="A103" s="66"/>
      <c r="B103" s="66"/>
      <c r="C103" s="66"/>
      <c r="D103" s="66"/>
      <c r="E103" s="66"/>
      <c r="F103" s="66"/>
      <c r="I103" s="65"/>
      <c r="J103" s="65"/>
    </row>
    <row r="104" spans="1:34">
      <c r="A104" s="66"/>
      <c r="B104" s="66"/>
      <c r="C104" s="66"/>
      <c r="D104" s="66"/>
      <c r="E104" s="66"/>
      <c r="F104" s="66"/>
      <c r="I104" s="65"/>
      <c r="J104" s="65"/>
    </row>
    <row r="105" spans="1:34">
      <c r="A105" s="66"/>
      <c r="B105" s="66"/>
      <c r="C105" s="66"/>
      <c r="D105" s="66"/>
      <c r="E105" s="66"/>
      <c r="F105" s="66"/>
      <c r="I105" s="65"/>
      <c r="J105" s="65"/>
      <c r="AG105">
        <f>MAX(AG108:AG172)</f>
        <v>-1.9519951562656732</v>
      </c>
    </row>
    <row r="106" spans="1:34">
      <c r="A106" s="125"/>
      <c r="B106" s="126"/>
      <c r="C106" s="117"/>
      <c r="D106" s="117" t="s">
        <v>64</v>
      </c>
      <c r="E106" s="117"/>
      <c r="F106" s="117"/>
      <c r="G106" s="117"/>
      <c r="H106" s="127" t="s">
        <v>78</v>
      </c>
      <c r="I106" s="117"/>
      <c r="J106" s="117"/>
      <c r="K106" s="117"/>
      <c r="L106" s="117" t="s">
        <v>80</v>
      </c>
      <c r="M106" s="117"/>
      <c r="N106" s="117"/>
      <c r="O106" s="117"/>
      <c r="P106" s="117" t="s">
        <v>82</v>
      </c>
      <c r="Q106" s="117"/>
      <c r="R106" s="117"/>
      <c r="S106" s="117"/>
      <c r="T106" s="117" t="s">
        <v>83</v>
      </c>
      <c r="U106" s="117"/>
      <c r="V106" s="117"/>
      <c r="W106" s="117"/>
      <c r="X106" s="117" t="s">
        <v>84</v>
      </c>
      <c r="Y106" s="117"/>
      <c r="Z106" s="117"/>
      <c r="AA106" s="117"/>
      <c r="AB106" s="117" t="s">
        <v>85</v>
      </c>
      <c r="AC106" s="117"/>
      <c r="AD106" s="117"/>
      <c r="AE106" s="117"/>
      <c r="AF106" s="117" t="s">
        <v>86</v>
      </c>
      <c r="AG106" s="117"/>
    </row>
    <row r="107" spans="1:34">
      <c r="A107" s="125" t="s">
        <v>157</v>
      </c>
      <c r="B107" s="126"/>
      <c r="C107" s="124" t="s">
        <v>159</v>
      </c>
      <c r="D107" s="124" t="s">
        <v>158</v>
      </c>
      <c r="E107" s="124" t="s">
        <v>160</v>
      </c>
      <c r="F107" s="124"/>
      <c r="G107" s="124" t="s">
        <v>159</v>
      </c>
      <c r="H107" s="124" t="s">
        <v>158</v>
      </c>
      <c r="I107" s="124" t="s">
        <v>160</v>
      </c>
      <c r="J107" s="124"/>
      <c r="K107" s="124" t="s">
        <v>159</v>
      </c>
      <c r="L107" s="124" t="s">
        <v>158</v>
      </c>
      <c r="M107" s="124" t="s">
        <v>160</v>
      </c>
      <c r="N107" s="124"/>
      <c r="O107" s="124" t="s">
        <v>159</v>
      </c>
      <c r="P107" s="124" t="s">
        <v>158</v>
      </c>
      <c r="Q107" s="124" t="s">
        <v>160</v>
      </c>
      <c r="R107" s="124"/>
      <c r="S107" s="124" t="s">
        <v>159</v>
      </c>
      <c r="T107" s="124" t="s">
        <v>158</v>
      </c>
      <c r="U107" s="124" t="s">
        <v>160</v>
      </c>
      <c r="V107" s="124"/>
      <c r="W107" s="124" t="s">
        <v>159</v>
      </c>
      <c r="X107" s="124" t="s">
        <v>158</v>
      </c>
      <c r="Y107" s="124" t="s">
        <v>160</v>
      </c>
      <c r="Z107" s="124"/>
      <c r="AA107" s="124" t="s">
        <v>159</v>
      </c>
      <c r="AB107" s="124" t="s">
        <v>158</v>
      </c>
      <c r="AC107" s="124" t="s">
        <v>160</v>
      </c>
      <c r="AD107" s="124"/>
      <c r="AE107" s="124" t="s">
        <v>158</v>
      </c>
      <c r="AF107" s="124" t="s">
        <v>159</v>
      </c>
      <c r="AG107" s="124" t="s">
        <v>160</v>
      </c>
    </row>
    <row r="108" spans="1:34" ht="15" customHeight="1">
      <c r="A108" s="125">
        <v>20</v>
      </c>
      <c r="B108" s="126"/>
      <c r="C108" s="66">
        <f>EDisponible!P20</f>
        <v>400275.57966900425</v>
      </c>
      <c r="D108" s="66">
        <f>J7</f>
        <v>2605283.0840445594</v>
      </c>
      <c r="E108" s="66">
        <f>(((C108-D108)/$C$4)*A108)</f>
        <v>-23.048158852968168</v>
      </c>
      <c r="F108" s="66">
        <f>180*ATAN(E108/A108)/PI()</f>
        <v>-49.050245972946001</v>
      </c>
      <c r="G108">
        <f>EDisponible!V20</f>
        <v>334236.46517328115</v>
      </c>
      <c r="H108">
        <f>R7</f>
        <v>3015508.8203136292</v>
      </c>
      <c r="I108">
        <f>((G108-H108)/$C$4)*A108</f>
        <v>-28.026385872481534</v>
      </c>
      <c r="J108">
        <f>180*ATAN(I108/A108)/PI()</f>
        <v>-54.487843428843675</v>
      </c>
      <c r="K108">
        <f>EDisponible!AB20</f>
        <v>276862.60412427573</v>
      </c>
      <c r="L108">
        <f>Z7</f>
        <v>3508657.3140609735</v>
      </c>
      <c r="M108">
        <f>((K108-L108)/$C$4)*A108</f>
        <v>-33.78080015918016</v>
      </c>
      <c r="N108">
        <f>180*ATAN(M108/A108)/PI()</f>
        <v>-59.372248954023043</v>
      </c>
      <c r="O108">
        <f>EDisponible!AH20</f>
        <v>227745.37994044076</v>
      </c>
      <c r="P108">
        <f>AH7</f>
        <v>4105450.4118906246</v>
      </c>
      <c r="Q108">
        <f>((O108-P108)/$C$4)*A108</f>
        <v>-40.532270926058374</v>
      </c>
      <c r="R108">
        <f>180*ATAN(Q108/A108)/PI()</f>
        <v>-63.736702485453584</v>
      </c>
      <c r="S108">
        <f>EDisponible!AN20</f>
        <v>185941.95939726426</v>
      </c>
      <c r="T108">
        <f>AP7</f>
        <v>4832865.1122842235</v>
      </c>
      <c r="U108">
        <f>((S108-T108)/$C$4)*A108</f>
        <v>-48.572634239449116</v>
      </c>
      <c r="V108">
        <f>180*ATAN(U108/A108)/PI()</f>
        <v>-67.620365662970087</v>
      </c>
      <c r="W108">
        <f>EDisponible!AT20</f>
        <v>150587.08192722261</v>
      </c>
      <c r="X108">
        <f>AX7</f>
        <v>5726373.9214871936</v>
      </c>
      <c r="Y108">
        <f>((W108-X108)/$C$4)*A108</f>
        <v>-58.281715846069773</v>
      </c>
      <c r="Z108">
        <f>180*ATAN(Y108/A108)/PI()</f>
        <v>-71.059789027972556</v>
      </c>
      <c r="AA108">
        <f>EDisponible!AZ20</f>
        <v>120889.344086343</v>
      </c>
      <c r="AB108">
        <f>BF7</f>
        <v>6833125.0982983643</v>
      </c>
      <c r="AC108">
        <f>((AA108-AB108)/$C$4)*A108</f>
        <v>-70.160611977355927</v>
      </c>
      <c r="AD108">
        <f>180*ATAN(AC108/A108)/PI()</f>
        <v>-74.089256580990281</v>
      </c>
      <c r="AE108">
        <f>EDisponible!BF20</f>
        <v>96127.523830610546</v>
      </c>
      <c r="AF108">
        <f>BN7</f>
        <v>8216520.1639181785</v>
      </c>
      <c r="AG108">
        <f>((AE108-AF108)/$C$4)*A108</f>
        <v>-84.879574852156537</v>
      </c>
      <c r="AH108">
        <f>180*ATAN(AG108/A108)/PI()</f>
        <v>-76.741357782891868</v>
      </c>
    </row>
    <row r="109" spans="1:34">
      <c r="A109" s="125">
        <v>25</v>
      </c>
      <c r="B109" s="126"/>
      <c r="C109" s="128">
        <f>EDisponible!P21</f>
        <v>394107.52705885581</v>
      </c>
      <c r="D109" s="128">
        <f t="shared" ref="D109:D172" si="96">J8</f>
        <v>1668450.2988353951</v>
      </c>
      <c r="E109" s="128">
        <f t="shared" ref="E109:E172" si="97">(((C109-D109)/$C$4)*A109)</f>
        <v>-16.650314442668527</v>
      </c>
      <c r="F109" s="134">
        <f t="shared" ref="F109:F172" si="98">180*ATAN(E109/A109)/PI()</f>
        <v>-33.664114398108495</v>
      </c>
      <c r="G109" s="128">
        <f>EDisponible!V21</f>
        <v>329339.72843682423</v>
      </c>
      <c r="H109" s="128">
        <f t="shared" ref="H109:H172" si="99">R8</f>
        <v>1930849.2234640471</v>
      </c>
      <c r="I109" s="128">
        <f t="shared" ref="I109:I172" si="100">((G109-H109)/$C$4)*A109</f>
        <v>-20.925011123928964</v>
      </c>
      <c r="J109" s="134">
        <f t="shared" ref="J109:J172" si="101">180*ATAN(I109/A109)/PI()</f>
        <v>-39.929347025284038</v>
      </c>
      <c r="K109" s="128">
        <f>EDisponible!AB21</f>
        <v>272775.07142245333</v>
      </c>
      <c r="L109" s="128">
        <f t="shared" ref="L109:L172" si="102">Z8</f>
        <v>2246334.3798348103</v>
      </c>
      <c r="M109" s="128">
        <f t="shared" ref="M109:M172" si="103">((K109-L109)/$C$4)*A109</f>
        <v>-25.786141518667765</v>
      </c>
      <c r="N109" s="134">
        <f t="shared" ref="N109:N172" si="104">180*ATAN(M109/A109)/PI()</f>
        <v>-45.886836303916482</v>
      </c>
      <c r="O109" s="128">
        <f>EDisponible!AH21</f>
        <v>224356.24323601104</v>
      </c>
      <c r="P109" s="128">
        <f t="shared" ref="P109:P172" si="105">AH8</f>
        <v>2628166.5407232759</v>
      </c>
      <c r="Q109" s="128">
        <f t="shared" ref="Q109:Q172" si="106">((O109-P109)/$C$4)*A109</f>
        <v>-31.407717138686714</v>
      </c>
      <c r="R109" s="134">
        <f t="shared" ref="R109:R172" si="107">180*ATAN(Q109/A109)/PI()</f>
        <v>-51.48081667557377</v>
      </c>
      <c r="S109" s="128">
        <f>EDisponible!AN21</f>
        <v>183152.21965319422</v>
      </c>
      <c r="T109" s="128">
        <f t="shared" ref="T109:T172" si="108">AP8</f>
        <v>3093609.8299225378</v>
      </c>
      <c r="U109" s="128">
        <f t="shared" ref="U109:U172" si="109">((S109-T109)/$C$4)*A109</f>
        <v>-38.027472243974742</v>
      </c>
      <c r="V109" s="134">
        <f t="shared" ref="V109:V172" si="110">180*ATAN(U109/A109)/PI()</f>
        <v>-56.678302438065806</v>
      </c>
      <c r="W109" s="128">
        <f>EDisponible!AT21</f>
        <v>148308.67613790097</v>
      </c>
      <c r="X109" s="128">
        <f t="shared" ref="X109:X172" si="111">AX8</f>
        <v>3665365.5495038875</v>
      </c>
      <c r="Y109" s="128">
        <f t="shared" ref="Y109:Y172" si="112">((W109-X109)/$C$4)*A109</f>
        <v>-45.953180063676804</v>
      </c>
      <c r="Z109" s="134">
        <f t="shared" ref="Z109:Z172" si="113">180*ATAN(Y109/A109)/PI()</f>
        <v>-61.452394946586217</v>
      </c>
      <c r="AA109" s="128">
        <f>EDisponible!AZ21</f>
        <v>119044.30609208034</v>
      </c>
      <c r="AB109" s="128">
        <f t="shared" ref="AB109:AB172" si="114">BF8</f>
        <v>4373607.5359612983</v>
      </c>
      <c r="AC109" s="128">
        <f t="shared" ref="AC109:AC172" si="115">((AA109-AB109)/$C$4)*A109</f>
        <v>-55.589294468066342</v>
      </c>
      <c r="AD109" s="134">
        <f t="shared" ref="AD109:AD172" si="116">180*ATAN(AC109/A109)/PI()</f>
        <v>-65.785269388042735</v>
      </c>
      <c r="AE109" s="128">
        <f>EDisponible!BF21</f>
        <v>94647.17889857688</v>
      </c>
      <c r="AF109" s="128">
        <f t="shared" ref="AF109:AF172" si="117">BN8</f>
        <v>5258911.7659780392</v>
      </c>
      <c r="AG109" s="128">
        <f t="shared" ref="AG109:AG172" si="118">((AE109-AF109)/$C$4)*A109</f>
        <v>-67.475275211973255</v>
      </c>
      <c r="AH109" s="134">
        <f t="shared" ref="AH109:AH172" si="119">180*ATAN(AG109/A109)/PI()</f>
        <v>-69.670025619309499</v>
      </c>
    </row>
    <row r="110" spans="1:34">
      <c r="A110" s="125">
        <v>30</v>
      </c>
      <c r="B110" s="126"/>
      <c r="C110" s="128">
        <f>EDisponible!P22</f>
        <v>388581.86155327468</v>
      </c>
      <c r="D110" s="128">
        <f t="shared" si="96"/>
        <v>1159996.1291341376</v>
      </c>
      <c r="E110" s="128">
        <f t="shared" si="97"/>
        <v>-12.094978279236006</v>
      </c>
      <c r="F110" s="134">
        <f t="shared" si="98"/>
        <v>-21.957613700727549</v>
      </c>
      <c r="G110" s="128">
        <f>EDisponible!V22</f>
        <v>325045.46704388177</v>
      </c>
      <c r="H110" s="128">
        <f t="shared" si="99"/>
        <v>1342033.8087306605</v>
      </c>
      <c r="I110" s="128">
        <f t="shared" si="100"/>
        <v>-15.945325903177501</v>
      </c>
      <c r="J110" s="134">
        <f t="shared" si="101"/>
        <v>-27.991129706730483</v>
      </c>
      <c r="K110" s="128">
        <f>EDisponible!AB22</f>
        <v>269193.45778318925</v>
      </c>
      <c r="L110" s="128">
        <f t="shared" si="102"/>
        <v>1560956.7112275267</v>
      </c>
      <c r="M110" s="128">
        <f t="shared" si="103"/>
        <v>-20.253512475625474</v>
      </c>
      <c r="N110" s="134">
        <f t="shared" si="104"/>
        <v>-34.023958299031804</v>
      </c>
      <c r="O110" s="128">
        <f>EDisponible!AH22</f>
        <v>221389.24380271847</v>
      </c>
      <c r="P110" s="128">
        <f t="shared" si="105"/>
        <v>1825972.179821396</v>
      </c>
      <c r="Q110" s="128">
        <f t="shared" si="106"/>
        <v>-25.158201726343201</v>
      </c>
      <c r="R110" s="134">
        <f t="shared" si="107"/>
        <v>-39.983423191163702</v>
      </c>
      <c r="S110" s="128">
        <f>EDisponible!AN22</f>
        <v>180712.3015169237</v>
      </c>
      <c r="T110" s="128">
        <f t="shared" si="108"/>
        <v>2149067.7305406951</v>
      </c>
      <c r="U110" s="128">
        <f t="shared" si="109"/>
        <v>-30.86177837301047</v>
      </c>
      <c r="V110" s="134">
        <f t="shared" si="110"/>
        <v>-45.811231046485986</v>
      </c>
      <c r="W110" s="128">
        <f>EDisponible!AT22</f>
        <v>146318.02622370634</v>
      </c>
      <c r="X110" s="128">
        <f t="shared" si="111"/>
        <v>2546006.7649815241</v>
      </c>
      <c r="Y110" s="128">
        <f t="shared" si="112"/>
        <v>-37.624638786137837</v>
      </c>
      <c r="Z110" s="134">
        <f t="shared" si="113"/>
        <v>-51.432898433597693</v>
      </c>
      <c r="AA110" s="128">
        <f>EDisponible!AZ22</f>
        <v>117434.08080146959</v>
      </c>
      <c r="AB110" s="128">
        <f t="shared" si="114"/>
        <v>3037742.0114169293</v>
      </c>
      <c r="AC110" s="128">
        <f t="shared" si="115"/>
        <v>-45.787409533194989</v>
      </c>
      <c r="AD110" s="134">
        <f t="shared" si="116"/>
        <v>-56.767104911368783</v>
      </c>
      <c r="AE110" s="128">
        <f>EDisponible!BF22</f>
        <v>93356.784181137176</v>
      </c>
      <c r="AF110" s="128">
        <f t="shared" si="117"/>
        <v>3652449.972568762</v>
      </c>
      <c r="AG110" s="128">
        <f t="shared" si="118"/>
        <v>-55.802902041622865</v>
      </c>
      <c r="AH110" s="134">
        <f t="shared" si="119"/>
        <v>-61.737238623837584</v>
      </c>
    </row>
    <row r="111" spans="1:34" ht="15" customHeight="1">
      <c r="A111" s="125">
        <v>35</v>
      </c>
      <c r="B111" s="126"/>
      <c r="C111" s="128">
        <f>EDisponible!P23</f>
        <v>383549.3063924039</v>
      </c>
      <c r="D111" s="128">
        <f t="shared" si="96"/>
        <v>853875.51345820865</v>
      </c>
      <c r="E111" s="128">
        <f t="shared" si="97"/>
        <v>-8.6032668575492828</v>
      </c>
      <c r="F111" s="134">
        <f t="shared" si="98"/>
        <v>-13.809945722569593</v>
      </c>
      <c r="G111" s="128">
        <f>EDisponible!V23</f>
        <v>321226.93330681021</v>
      </c>
      <c r="H111" s="128">
        <f t="shared" si="99"/>
        <v>987395.10924326256</v>
      </c>
      <c r="I111" s="128">
        <f t="shared" si="100"/>
        <v>-12.18563308505211</v>
      </c>
      <c r="J111" s="134">
        <f t="shared" si="101"/>
        <v>-19.196121555171853</v>
      </c>
      <c r="K111" s="128">
        <f>EDisponible!AB23</f>
        <v>266011.64432018233</v>
      </c>
      <c r="L111" s="128">
        <f t="shared" si="102"/>
        <v>1148037.9891756589</v>
      </c>
      <c r="M111" s="128">
        <f t="shared" si="103"/>
        <v>-16.134138192130877</v>
      </c>
      <c r="N111" s="134">
        <f t="shared" si="104"/>
        <v>-24.74853808630947</v>
      </c>
      <c r="O111" s="128">
        <f>EDisponible!AH23</f>
        <v>218756.1133526059</v>
      </c>
      <c r="P111" s="128">
        <f t="shared" si="105"/>
        <v>1342566.884685674</v>
      </c>
      <c r="Q111" s="128">
        <f t="shared" si="106"/>
        <v>-20.556889703179859</v>
      </c>
      <c r="R111" s="134">
        <f t="shared" si="107"/>
        <v>-30.427407681372639</v>
      </c>
      <c r="S111" s="128">
        <f>EDisponible!AN23</f>
        <v>178549.29974566438</v>
      </c>
      <c r="T111" s="128">
        <f t="shared" si="108"/>
        <v>1579787.1853839753</v>
      </c>
      <c r="U111" s="128">
        <f t="shared" si="109"/>
        <v>-25.631621797693761</v>
      </c>
      <c r="V111" s="134">
        <f t="shared" si="110"/>
        <v>-36.216513339830705</v>
      </c>
      <c r="W111" s="128">
        <f>EDisponible!AT23</f>
        <v>144555.37205127068</v>
      </c>
      <c r="X111" s="128">
        <f t="shared" si="111"/>
        <v>1871278.4823386914</v>
      </c>
      <c r="Y111" s="128">
        <f t="shared" si="112"/>
        <v>-31.585438964964393</v>
      </c>
      <c r="Z111" s="134">
        <f t="shared" si="113"/>
        <v>-42.064392517513348</v>
      </c>
      <c r="AA111" s="128">
        <f>EDisponible!AZ23</f>
        <v>116010.08463198144</v>
      </c>
      <c r="AB111" s="128">
        <f t="shared" si="114"/>
        <v>2232433.0138088735</v>
      </c>
      <c r="AC111" s="128">
        <f t="shared" si="115"/>
        <v>-38.713877665331481</v>
      </c>
      <c r="AD111" s="134">
        <f t="shared" si="116"/>
        <v>-47.884256661118812</v>
      </c>
      <c r="AE111" s="128">
        <f>EDisponible!BF23</f>
        <v>92217.194016871043</v>
      </c>
      <c r="AF111" s="128">
        <f t="shared" si="117"/>
        <v>2683950.3607473783</v>
      </c>
      <c r="AG111" s="128">
        <f t="shared" si="118"/>
        <v>-47.408313043087837</v>
      </c>
      <c r="AH111" s="134">
        <f t="shared" si="119"/>
        <v>-53.562766344749654</v>
      </c>
    </row>
    <row r="112" spans="1:34">
      <c r="A112" s="125">
        <v>40</v>
      </c>
      <c r="B112" s="126"/>
      <c r="C112" s="128">
        <f>EDisponible!P24</f>
        <v>378912.14922960958</v>
      </c>
      <c r="D112" s="128">
        <f t="shared" si="96"/>
        <v>655666.80778706376</v>
      </c>
      <c r="E112" s="128">
        <f t="shared" si="97"/>
        <v>-5.7856359409874889</v>
      </c>
      <c r="F112" s="134">
        <f t="shared" si="98"/>
        <v>-8.2302348845155944</v>
      </c>
      <c r="G112" s="128">
        <f>EDisponible!V24</f>
        <v>317800.95200322341</v>
      </c>
      <c r="H112" s="128">
        <f t="shared" si="99"/>
        <v>757631.58907566033</v>
      </c>
      <c r="I112" s="128">
        <f t="shared" si="100"/>
        <v>-9.1947862957668569</v>
      </c>
      <c r="J112" s="134">
        <f t="shared" si="101"/>
        <v>-12.945671442990585</v>
      </c>
      <c r="K112" s="128">
        <f>EDisponible!AB24</f>
        <v>263159.97879810218</v>
      </c>
      <c r="L112" s="128">
        <f t="shared" si="102"/>
        <v>880390.74654690048</v>
      </c>
      <c r="M112" s="128">
        <f t="shared" si="103"/>
        <v>-12.903387181933905</v>
      </c>
      <c r="N112" s="134">
        <f t="shared" si="104"/>
        <v>-17.878905962579093</v>
      </c>
      <c r="O112" s="128">
        <f>EDisponible!AH24</f>
        <v>216398.90358652564</v>
      </c>
      <c r="P112" s="128">
        <f t="shared" si="105"/>
        <v>1029119.8270103632</v>
      </c>
      <c r="Q112" s="128">
        <f t="shared" si="106"/>
        <v>-16.990165257064099</v>
      </c>
      <c r="R112" s="134">
        <f t="shared" si="107"/>
        <v>-23.013558940616882</v>
      </c>
      <c r="S112" s="128">
        <f>EDisponible!AN24</f>
        <v>176615.34097112293</v>
      </c>
      <c r="T112" s="128">
        <f t="shared" si="108"/>
        <v>1210558.3840086006</v>
      </c>
      <c r="U112" s="128">
        <f t="shared" si="109"/>
        <v>-21.614877458294856</v>
      </c>
      <c r="V112" s="134">
        <f t="shared" si="110"/>
        <v>-28.385542945016123</v>
      </c>
      <c r="W112" s="128">
        <f>EDisponible!AT24</f>
        <v>142981.46249281822</v>
      </c>
      <c r="X112" s="128">
        <f t="shared" si="111"/>
        <v>1433570.0647298619</v>
      </c>
      <c r="Y112" s="128">
        <f t="shared" si="112"/>
        <v>-26.980126878627861</v>
      </c>
      <c r="Z112" s="134">
        <f t="shared" si="113"/>
        <v>-33.999789520487589</v>
      </c>
      <c r="AA112" s="128">
        <f>EDisponible!AZ24</f>
        <v>114740.39910660741</v>
      </c>
      <c r="AB112" s="128">
        <f t="shared" si="114"/>
        <v>1709937.6690881844</v>
      </c>
      <c r="AC112" s="128">
        <f t="shared" si="115"/>
        <v>-33.34805891353966</v>
      </c>
      <c r="AD112" s="134">
        <f t="shared" si="116"/>
        <v>-39.818017072091173</v>
      </c>
      <c r="AE112" s="128">
        <f>EDisponible!BF24</f>
        <v>91202.68339200347</v>
      </c>
      <c r="AF112" s="128">
        <f t="shared" si="117"/>
        <v>2055507.5250055774</v>
      </c>
      <c r="AG112" s="128">
        <f t="shared" si="118"/>
        <v>-41.064359132859593</v>
      </c>
      <c r="AH112" s="134">
        <f t="shared" si="119"/>
        <v>-45.752239120562173</v>
      </c>
    </row>
    <row r="113" spans="1:34">
      <c r="A113" s="125">
        <v>45</v>
      </c>
      <c r="B113" s="126"/>
      <c r="C113" s="128">
        <f>EDisponible!P25</f>
        <v>374602.13330298528</v>
      </c>
      <c r="D113" s="128">
        <f t="shared" si="96"/>
        <v>520262.04167797888</v>
      </c>
      <c r="E113" s="128">
        <f t="shared" si="97"/>
        <v>-3.4256951847854822</v>
      </c>
      <c r="F113" s="134">
        <f t="shared" si="98"/>
        <v>-4.3533339769230848</v>
      </c>
      <c r="G113" s="128">
        <f>EDisponible!V25</f>
        <v>314709.30068997206</v>
      </c>
      <c r="H113" s="128">
        <f t="shared" si="99"/>
        <v>600526.71987731778</v>
      </c>
      <c r="I113" s="128">
        <f t="shared" si="100"/>
        <v>-6.7219825109130475</v>
      </c>
      <c r="J113" s="134">
        <f t="shared" si="101"/>
        <v>-8.4958744322620596</v>
      </c>
      <c r="K113" s="128">
        <f>EDisponible!AB25</f>
        <v>260589.69493708402</v>
      </c>
      <c r="L113" s="128">
        <f t="shared" si="102"/>
        <v>697253.82452430716</v>
      </c>
      <c r="M113" s="128">
        <f t="shared" si="103"/>
        <v>-10.269663236670699</v>
      </c>
      <c r="N113" s="134">
        <f t="shared" si="104"/>
        <v>-12.855577931876059</v>
      </c>
      <c r="O113" s="128">
        <f>EDisponible!AH25</f>
        <v>214277.03395216566</v>
      </c>
      <c r="P113" s="128">
        <f t="shared" si="105"/>
        <v>814530.18373924738</v>
      </c>
      <c r="Q113" s="128">
        <f t="shared" si="106"/>
        <v>-14.117023330703541</v>
      </c>
      <c r="R113" s="134">
        <f t="shared" si="107"/>
        <v>-17.417247793906693</v>
      </c>
      <c r="S113" s="128">
        <f>EDisponible!AN25</f>
        <v>174876.89246838962</v>
      </c>
      <c r="T113" s="128">
        <f t="shared" si="108"/>
        <v>957678.49500598235</v>
      </c>
      <c r="U113" s="128">
        <f t="shared" si="109"/>
        <v>-18.410279879839365</v>
      </c>
      <c r="V113" s="134">
        <f t="shared" si="110"/>
        <v>-22.250320460734009</v>
      </c>
      <c r="W113" s="128">
        <f>EDisponible!AT25</f>
        <v>141568.79772747718</v>
      </c>
      <c r="X113" s="128">
        <f t="shared" si="111"/>
        <v>1133699.861935246</v>
      </c>
      <c r="Y113" s="128">
        <f t="shared" si="112"/>
        <v>-23.333384232144233</v>
      </c>
      <c r="Z113" s="134">
        <f t="shared" si="113"/>
        <v>-27.407626512227402</v>
      </c>
      <c r="AA113" s="128">
        <f>EDisponible!AZ25</f>
        <v>113602.65616168822</v>
      </c>
      <c r="AB113" s="128">
        <f t="shared" si="114"/>
        <v>1351901.9880194725</v>
      </c>
      <c r="AC113" s="128">
        <f t="shared" si="115"/>
        <v>-29.122880178857436</v>
      </c>
      <c r="AD113" s="134">
        <f t="shared" si="116"/>
        <v>-32.909939287153499</v>
      </c>
      <c r="AE113" s="128">
        <f>EDisponible!BF25</f>
        <v>90295.219788021801</v>
      </c>
      <c r="AF113" s="128">
        <f t="shared" si="117"/>
        <v>1624803.3732809853</v>
      </c>
      <c r="AG113" s="128">
        <f t="shared" si="118"/>
        <v>-36.089252362439133</v>
      </c>
      <c r="AH113" s="134">
        <f t="shared" si="119"/>
        <v>-38.729033706161857</v>
      </c>
    </row>
    <row r="114" spans="1:34">
      <c r="A114" s="125">
        <v>50</v>
      </c>
      <c r="B114" s="126"/>
      <c r="C114" s="128">
        <f>EDisponible!P26</f>
        <v>370569.21778295178</v>
      </c>
      <c r="D114" s="128">
        <f t="shared" si="96"/>
        <v>423903.25717122987</v>
      </c>
      <c r="E114" s="128">
        <f t="shared" si="97"/>
        <v>-1.3937043407473699</v>
      </c>
      <c r="F114" s="134">
        <f t="shared" si="98"/>
        <v>-1.5966541032853854</v>
      </c>
      <c r="G114" s="128">
        <f>EDisponible!V26</f>
        <v>311909.24120599497</v>
      </c>
      <c r="H114" s="128">
        <f t="shared" si="99"/>
        <v>488578.53086171969</v>
      </c>
      <c r="I114" s="128">
        <f t="shared" si="100"/>
        <v>-4.6166530548603815</v>
      </c>
      <c r="J114" s="134">
        <f t="shared" si="101"/>
        <v>-5.2753371981520534</v>
      </c>
      <c r="K114" s="128">
        <f>EDisponible!AB26</f>
        <v>258264.98898923802</v>
      </c>
      <c r="L114" s="128">
        <f t="shared" si="102"/>
        <v>566624.87313316681</v>
      </c>
      <c r="M114" s="128">
        <f t="shared" si="103"/>
        <v>-8.0579403692832621</v>
      </c>
      <c r="N114" s="134">
        <f t="shared" si="104"/>
        <v>-9.1550026847386352</v>
      </c>
      <c r="O114" s="128">
        <f>EDisponible!AH26</f>
        <v>212360.70461323031</v>
      </c>
      <c r="P114" s="128">
        <f t="shared" si="105"/>
        <v>661349.79773973639</v>
      </c>
      <c r="Q114" s="128">
        <f t="shared" si="106"/>
        <v>-11.732808075590231</v>
      </c>
      <c r="R114" s="134">
        <f t="shared" si="107"/>
        <v>-13.205880290597811</v>
      </c>
      <c r="S114" s="128">
        <f>EDisponible!AN26</f>
        <v>173309.32473766958</v>
      </c>
      <c r="T114" s="128">
        <f t="shared" si="108"/>
        <v>777061.99800804828</v>
      </c>
      <c r="U114" s="128">
        <f t="shared" si="109"/>
        <v>-15.777029662967781</v>
      </c>
      <c r="V114" s="134">
        <f t="shared" si="110"/>
        <v>-17.512600729153654</v>
      </c>
      <c r="W114" s="128">
        <f>EDisponible!AT26</f>
        <v>140297.17496589827</v>
      </c>
      <c r="X114" s="128">
        <f t="shared" si="111"/>
        <v>919429.8004354462</v>
      </c>
      <c r="Y114" s="128">
        <f t="shared" si="112"/>
        <v>-20.359990253681438</v>
      </c>
      <c r="Z114" s="134">
        <f t="shared" si="113"/>
        <v>-22.156143595465167</v>
      </c>
      <c r="AA114" s="128">
        <f>EDisponible!AZ26</f>
        <v>112580.41932494218</v>
      </c>
      <c r="AB114" s="128">
        <f t="shared" si="114"/>
        <v>1095990.0004178139</v>
      </c>
      <c r="AC114" s="128">
        <f t="shared" si="115"/>
        <v>-25.698076080900005</v>
      </c>
      <c r="AD114" s="134">
        <f t="shared" si="116"/>
        <v>-27.201420002855684</v>
      </c>
      <c r="AE114" s="128">
        <f>EDisponible!BF26</f>
        <v>89481.549433684137</v>
      </c>
      <c r="AF114" s="128">
        <f t="shared" si="117"/>
        <v>1316880.2602851856</v>
      </c>
      <c r="AG114" s="128">
        <f t="shared" si="118"/>
        <v>-32.07390497254238</v>
      </c>
      <c r="AH114" s="134">
        <f t="shared" si="119"/>
        <v>-32.679282821911784</v>
      </c>
    </row>
    <row r="115" spans="1:34">
      <c r="A115" s="125">
        <v>55</v>
      </c>
      <c r="B115" s="126"/>
      <c r="C115" s="128">
        <f>EDisponible!P27</f>
        <v>366775.31102186791</v>
      </c>
      <c r="D115" s="128">
        <f t="shared" si="96"/>
        <v>353111.50133669999</v>
      </c>
      <c r="E115" s="128">
        <f t="shared" si="97"/>
        <v>0.39276308707464708</v>
      </c>
      <c r="F115" s="134">
        <f t="shared" si="98"/>
        <v>0.40915063122572598</v>
      </c>
      <c r="G115" s="128">
        <f>EDisponible!V27</f>
        <v>309368.23837693606</v>
      </c>
      <c r="H115" s="128">
        <f t="shared" si="99"/>
        <v>406183.92304429336</v>
      </c>
      <c r="I115" s="128">
        <f t="shared" si="100"/>
        <v>-2.7829447323518934</v>
      </c>
      <c r="J115" s="134">
        <f t="shared" si="101"/>
        <v>-2.8966385066562612</v>
      </c>
      <c r="K115" s="128">
        <f>EDisponible!AB27</f>
        <v>256158.60003845178</v>
      </c>
      <c r="L115" s="128">
        <f t="shared" si="102"/>
        <v>470347.5268435154</v>
      </c>
      <c r="M115" s="128">
        <f t="shared" si="103"/>
        <v>-6.1568117565689429</v>
      </c>
      <c r="N115" s="134">
        <f t="shared" si="104"/>
        <v>-6.3872151148592149</v>
      </c>
      <c r="O115" s="128">
        <f>EDisponible!AH27</f>
        <v>210627.22200372737</v>
      </c>
      <c r="P115" s="128">
        <f t="shared" si="105"/>
        <v>548332.65333297756</v>
      </c>
      <c r="Q115" s="128">
        <f t="shared" si="106"/>
        <v>-9.7072654542847268</v>
      </c>
      <c r="R115" s="134">
        <f t="shared" si="107"/>
        <v>-10.009377114299971</v>
      </c>
      <c r="S115" s="128">
        <f>EDisponible!AN27</f>
        <v>171893.8781792557</v>
      </c>
      <c r="T115" s="128">
        <f t="shared" si="108"/>
        <v>643697.20409152017</v>
      </c>
      <c r="U115" s="128">
        <f t="shared" si="109"/>
        <v>-13.561878791281597</v>
      </c>
      <c r="V115" s="134">
        <f t="shared" si="110"/>
        <v>-13.851649748109104</v>
      </c>
      <c r="W115" s="128">
        <f>EDisponible!AT27</f>
        <v>139151.20343277784</v>
      </c>
      <c r="X115" s="128">
        <f t="shared" si="111"/>
        <v>761122.88300529623</v>
      </c>
      <c r="Y115" s="128">
        <f t="shared" si="112"/>
        <v>-17.878433802183299</v>
      </c>
      <c r="Z115" s="134">
        <f t="shared" si="113"/>
        <v>-18.00739694194484</v>
      </c>
      <c r="AA115" s="128">
        <f>EDisponible!AZ27</f>
        <v>111661.16466033779</v>
      </c>
      <c r="AB115" s="128">
        <f t="shared" si="114"/>
        <v>906835.72030915541</v>
      </c>
      <c r="AC115" s="128">
        <f t="shared" si="115"/>
        <v>-22.857110896301418</v>
      </c>
      <c r="AD115" s="134">
        <f t="shared" si="116"/>
        <v>-22.566980686432156</v>
      </c>
      <c r="AE115" s="128">
        <f>EDisponible!BF27</f>
        <v>88751.5715157331</v>
      </c>
      <c r="AF115" s="128">
        <f t="shared" si="117"/>
        <v>1089211.3588258859</v>
      </c>
      <c r="AG115" s="128">
        <f t="shared" si="118"/>
        <v>-28.757987970552705</v>
      </c>
      <c r="AH115" s="134">
        <f t="shared" si="119"/>
        <v>-27.603831069365459</v>
      </c>
    </row>
    <row r="116" spans="1:34">
      <c r="A116" s="125">
        <v>60</v>
      </c>
      <c r="B116" s="126"/>
      <c r="C116" s="128">
        <f>EDisponible!P28</f>
        <v>363190.52497582306</v>
      </c>
      <c r="D116" s="128">
        <f t="shared" si="96"/>
        <v>299777.61502936314</v>
      </c>
      <c r="E116" s="128">
        <f t="shared" si="97"/>
        <v>1.9884977518780043</v>
      </c>
      <c r="F116" s="134">
        <f t="shared" si="98"/>
        <v>1.898180715944862</v>
      </c>
      <c r="G116" s="128">
        <f>EDisponible!V28</f>
        <v>307060.80180438125</v>
      </c>
      <c r="H116" s="128">
        <f t="shared" si="99"/>
        <v>343955.81617648457</v>
      </c>
      <c r="I116" s="128">
        <f t="shared" si="100"/>
        <v>-1.1569513715168942</v>
      </c>
      <c r="J116" s="134">
        <f t="shared" si="101"/>
        <v>-1.1046702804886845</v>
      </c>
      <c r="K116" s="128">
        <f>EDisponible!AB28</f>
        <v>254249.16687711369</v>
      </c>
      <c r="L116" s="128">
        <f t="shared" si="102"/>
        <v>397498.61837811023</v>
      </c>
      <c r="M116" s="128">
        <f t="shared" si="103"/>
        <v>-4.492006635683353</v>
      </c>
      <c r="N116" s="134">
        <f t="shared" si="104"/>
        <v>-4.2815628488142883</v>
      </c>
      <c r="O116" s="128">
        <f>EDisponible!AH28</f>
        <v>209058.801259806</v>
      </c>
      <c r="P116" s="128">
        <f t="shared" si="105"/>
        <v>462696.79904019018</v>
      </c>
      <c r="Q116" s="128">
        <f t="shared" si="106"/>
        <v>-7.9535632224253163</v>
      </c>
      <c r="R116" s="134">
        <f t="shared" si="107"/>
        <v>-7.5510696680580098</v>
      </c>
      <c r="S116" s="128">
        <f>EDisponible!AN28</f>
        <v>170615.84884167369</v>
      </c>
      <c r="T116" s="128">
        <f t="shared" si="108"/>
        <v>542536.67099464952</v>
      </c>
      <c r="U116" s="128">
        <f t="shared" si="109"/>
        <v>-11.662668049017647</v>
      </c>
      <c r="V116" s="134">
        <f t="shared" si="110"/>
        <v>-10.999861516171466</v>
      </c>
      <c r="W116" s="128">
        <f>EDisponible!AT28</f>
        <v>138118.81795669219</v>
      </c>
      <c r="X116" s="128">
        <f t="shared" si="111"/>
        <v>640949.00605102396</v>
      </c>
      <c r="Y116" s="128">
        <f t="shared" si="112"/>
        <v>-15.7677151142595</v>
      </c>
      <c r="Z116" s="134">
        <f t="shared" si="113"/>
        <v>-14.724128918092516</v>
      </c>
      <c r="AA116" s="128">
        <f>EDisponible!AZ28</f>
        <v>110835.07297981415</v>
      </c>
      <c r="AB116" s="128">
        <f t="shared" si="114"/>
        <v>763162.39050981705</v>
      </c>
      <c r="AC116" s="128">
        <f t="shared" si="115"/>
        <v>-20.455636013111782</v>
      </c>
      <c r="AD116" s="134">
        <f t="shared" si="116"/>
        <v>-18.825642990112566</v>
      </c>
      <c r="AE116" s="128">
        <f>EDisponible!BF28</f>
        <v>88097.36555815232</v>
      </c>
      <c r="AF116" s="128">
        <f t="shared" si="117"/>
        <v>916211.83220076398</v>
      </c>
      <c r="AG116" s="128">
        <f t="shared" si="118"/>
        <v>-25.967957575307807</v>
      </c>
      <c r="AH116" s="134">
        <f t="shared" si="119"/>
        <v>-23.402926859194615</v>
      </c>
    </row>
    <row r="117" spans="1:34">
      <c r="A117" s="125">
        <v>65</v>
      </c>
      <c r="B117" s="126"/>
      <c r="C117" s="128">
        <f>EDisponible!P29</f>
        <v>359790.81135436572</v>
      </c>
      <c r="D117" s="128">
        <f t="shared" si="96"/>
        <v>258785.63428257412</v>
      </c>
      <c r="E117" s="128">
        <f t="shared" si="97"/>
        <v>3.4312563222055026</v>
      </c>
      <c r="F117" s="134">
        <f t="shared" si="98"/>
        <v>3.0217568673283455</v>
      </c>
      <c r="G117" s="128">
        <f>EDisponible!V29</f>
        <v>304966.49141260918</v>
      </c>
      <c r="H117" s="128">
        <f t="shared" si="99"/>
        <v>295972.02234155143</v>
      </c>
      <c r="I117" s="128">
        <f t="shared" si="100"/>
        <v>0.30555195050064282</v>
      </c>
      <c r="J117" s="134">
        <f t="shared" si="101"/>
        <v>0.26933397284404914</v>
      </c>
      <c r="K117" s="128">
        <f>EDisponible!AB29</f>
        <v>252519.55873164773</v>
      </c>
      <c r="L117" s="128">
        <f t="shared" si="102"/>
        <v>341186.86231603444</v>
      </c>
      <c r="M117" s="128">
        <f t="shared" si="103"/>
        <v>-3.0121252674068004</v>
      </c>
      <c r="N117" s="134">
        <f t="shared" si="104"/>
        <v>-2.6532105854279564</v>
      </c>
      <c r="O117" s="128">
        <f>EDisponible!AH29</f>
        <v>207641.17824193768</v>
      </c>
      <c r="P117" s="128">
        <f t="shared" si="105"/>
        <v>396378.26644993108</v>
      </c>
      <c r="Q117" s="128">
        <f t="shared" si="106"/>
        <v>-6.4116052852225138</v>
      </c>
      <c r="R117" s="134">
        <f t="shared" si="107"/>
        <v>-5.6334366554115318</v>
      </c>
      <c r="S117" s="128">
        <f>EDisponible!AN29</f>
        <v>169463.4424599034</v>
      </c>
      <c r="T117" s="128">
        <f t="shared" si="108"/>
        <v>464087.16137623868</v>
      </c>
      <c r="U117" s="128">
        <f t="shared" si="109"/>
        <v>-10.008689925713732</v>
      </c>
      <c r="V117" s="134">
        <f t="shared" si="110"/>
        <v>-8.7536449432432448</v>
      </c>
      <c r="W117" s="128">
        <f>EDisponible!AT29</f>
        <v>137190.34001140355</v>
      </c>
      <c r="X117" s="128">
        <f t="shared" si="111"/>
        <v>547659.38706929912</v>
      </c>
      <c r="Y117" s="128">
        <f t="shared" si="112"/>
        <v>-13.944082408627471</v>
      </c>
      <c r="Z117" s="134">
        <f t="shared" si="113"/>
        <v>-12.107828699167076</v>
      </c>
      <c r="AA117" s="128">
        <f>EDisponible!AZ29</f>
        <v>110094.26682110025</v>
      </c>
      <c r="AB117" s="128">
        <f t="shared" si="114"/>
        <v>651546.77919858834</v>
      </c>
      <c r="AC117" s="128">
        <f t="shared" si="115"/>
        <v>-18.393733966218321</v>
      </c>
      <c r="AD117" s="134">
        <f t="shared" si="116"/>
        <v>-15.800479836319104</v>
      </c>
      <c r="AE117" s="128">
        <f>EDisponible!BF29</f>
        <v>87512.576907651601</v>
      </c>
      <c r="AF117" s="128">
        <f t="shared" si="117"/>
        <v>781740.53675722948</v>
      </c>
      <c r="AG117" s="128">
        <f t="shared" si="118"/>
        <v>-23.583682988769787</v>
      </c>
      <c r="AH117" s="134">
        <f t="shared" si="119"/>
        <v>-19.942082506154918</v>
      </c>
    </row>
    <row r="118" spans="1:34">
      <c r="A118" s="125">
        <v>70</v>
      </c>
      <c r="B118" s="126"/>
      <c r="C118" s="128">
        <f>EDisponible!P30</f>
        <v>356556.40294251841</v>
      </c>
      <c r="D118" s="128">
        <f t="shared" si="96"/>
        <v>226778.61599081903</v>
      </c>
      <c r="E118" s="128">
        <f t="shared" si="97"/>
        <v>4.7478236022320246</v>
      </c>
      <c r="F118" s="134">
        <f t="shared" si="98"/>
        <v>3.8802036432434712</v>
      </c>
      <c r="G118" s="128">
        <f>EDisponible!V30</f>
        <v>303068.60131779587</v>
      </c>
      <c r="H118" s="128">
        <f t="shared" si="99"/>
        <v>258346.57830240321</v>
      </c>
      <c r="I118" s="128">
        <f t="shared" si="100"/>
        <v>1.6361218772444528</v>
      </c>
      <c r="J118" s="134">
        <f t="shared" si="101"/>
        <v>1.3389401884595076</v>
      </c>
      <c r="K118" s="128">
        <f>EDisponible!AB30</f>
        <v>250955.77363614019</v>
      </c>
      <c r="L118" s="128">
        <f t="shared" si="102"/>
        <v>296890.4025158647</v>
      </c>
      <c r="M118" s="128">
        <f t="shared" si="103"/>
        <v>-1.6804841589423405</v>
      </c>
      <c r="N118" s="134">
        <f t="shared" si="104"/>
        <v>-1.3752308418582033</v>
      </c>
      <c r="O118" s="128">
        <f>EDisponible!AH30</f>
        <v>206362.69347671335</v>
      </c>
      <c r="P118" s="128">
        <f t="shared" si="105"/>
        <v>344085.71978689678</v>
      </c>
      <c r="Q118" s="128">
        <f t="shared" si="106"/>
        <v>-5.0384942619623594</v>
      </c>
      <c r="R118" s="134">
        <f t="shared" si="107"/>
        <v>-4.116963594888043</v>
      </c>
      <c r="S118" s="128">
        <f>EDisponible!AN30</f>
        <v>168427.01806229542</v>
      </c>
      <c r="T118" s="128">
        <f t="shared" si="108"/>
        <v>402119.49577972479</v>
      </c>
      <c r="U118" s="128">
        <f t="shared" si="109"/>
        <v>-8.5494651082610691</v>
      </c>
      <c r="V118" s="134">
        <f t="shared" si="110"/>
        <v>-6.9633449636943041</v>
      </c>
      <c r="W118" s="128">
        <f>EDisponible!AT30</f>
        <v>136357.85789803416</v>
      </c>
      <c r="X118" s="128">
        <f t="shared" si="111"/>
        <v>473872.91018124239</v>
      </c>
      <c r="Y118" s="128">
        <f t="shared" si="112"/>
        <v>-12.347736611776213</v>
      </c>
      <c r="Z118" s="134">
        <f t="shared" si="113"/>
        <v>-10.003848412260567</v>
      </c>
      <c r="AA118" s="128">
        <f>EDisponible!AZ30</f>
        <v>109432.30671677137</v>
      </c>
      <c r="AB118" s="128">
        <f t="shared" si="114"/>
        <v>563180.96165009751</v>
      </c>
      <c r="AC118" s="128">
        <f t="shared" si="115"/>
        <v>-16.600056326860258</v>
      </c>
      <c r="AD118" s="134">
        <f t="shared" si="116"/>
        <v>-13.340890360324748</v>
      </c>
      <c r="AE118" s="128">
        <f>EDisponible!BF30</f>
        <v>86992.010999327948</v>
      </c>
      <c r="AF118" s="128">
        <f t="shared" si="117"/>
        <v>675206.13501656952</v>
      </c>
      <c r="AG118" s="128">
        <f t="shared" si="118"/>
        <v>-21.519375285808298</v>
      </c>
      <c r="AH118" s="134">
        <f t="shared" si="119"/>
        <v>-17.088456683915517</v>
      </c>
    </row>
    <row r="119" spans="1:34">
      <c r="A119" s="125">
        <v>75</v>
      </c>
      <c r="B119" s="126"/>
      <c r="C119" s="128">
        <f>EDisponible!P31</f>
        <v>353470.74802251766</v>
      </c>
      <c r="D119" s="128">
        <f t="shared" si="96"/>
        <v>201479.79904068788</v>
      </c>
      <c r="E119" s="128">
        <f t="shared" si="97"/>
        <v>5.9576524049154873</v>
      </c>
      <c r="F119" s="134">
        <f t="shared" si="98"/>
        <v>4.5417743716689927</v>
      </c>
      <c r="G119" s="128">
        <f>EDisponible!V31</f>
        <v>301353.2592546143</v>
      </c>
      <c r="H119" s="128">
        <f t="shared" si="99"/>
        <v>228443.92852286846</v>
      </c>
      <c r="I119" s="128">
        <f t="shared" si="100"/>
        <v>2.8578573427204024</v>
      </c>
      <c r="J119" s="134">
        <f t="shared" si="101"/>
        <v>2.1821864391471695</v>
      </c>
      <c r="K119" s="128">
        <f>EDisponible!AB31</f>
        <v>249546.18457401154</v>
      </c>
      <c r="L119" s="128">
        <f t="shared" si="102"/>
        <v>261542.40528407934</v>
      </c>
      <c r="M119" s="128">
        <f t="shared" si="103"/>
        <v>-0.47022084960977817</v>
      </c>
      <c r="N119" s="134">
        <f t="shared" si="104"/>
        <v>-0.35921756162750795</v>
      </c>
      <c r="O119" s="128">
        <f>EDisponible!AH31</f>
        <v>205213.66523017568</v>
      </c>
      <c r="P119" s="128">
        <f t="shared" si="105"/>
        <v>302230.44540520542</v>
      </c>
      <c r="Q119" s="128">
        <f t="shared" si="106"/>
        <v>-3.8028070592283818</v>
      </c>
      <c r="R119" s="134">
        <f t="shared" si="107"/>
        <v>-2.9026448254877266</v>
      </c>
      <c r="S119" s="128">
        <f>EDisponible!AN31</f>
        <v>167498.57026508707</v>
      </c>
      <c r="T119" s="128">
        <f t="shared" si="108"/>
        <v>352408.89198229974</v>
      </c>
      <c r="U119" s="128">
        <f t="shared" si="109"/>
        <v>-7.2480067415326586</v>
      </c>
      <c r="V119" s="134">
        <f t="shared" si="110"/>
        <v>-5.5199277709079615</v>
      </c>
      <c r="W119" s="128">
        <f>EDisponible!AT31</f>
        <v>135614.80247291495</v>
      </c>
      <c r="X119" s="128">
        <f t="shared" si="111"/>
        <v>414583.52164140798</v>
      </c>
      <c r="Y119" s="128">
        <f t="shared" si="112"/>
        <v>-10.934852843435136</v>
      </c>
      <c r="Z119" s="134">
        <f t="shared" si="113"/>
        <v>-8.2951647941058617</v>
      </c>
      <c r="AA119" s="128">
        <f>EDisponible!AZ31</f>
        <v>108843.84634558538</v>
      </c>
      <c r="AB119" s="128">
        <f t="shared" si="114"/>
        <v>492091.18737937819</v>
      </c>
      <c r="AC119" s="128">
        <f t="shared" si="115"/>
        <v>-15.02230532990751</v>
      </c>
      <c r="AD119" s="134">
        <f t="shared" si="116"/>
        <v>-11.326316168132703</v>
      </c>
      <c r="AE119" s="128">
        <f>EDisponible!BF31</f>
        <v>86531.355560697208</v>
      </c>
      <c r="AF119" s="128">
        <f t="shared" si="117"/>
        <v>589425.32224212517</v>
      </c>
      <c r="AG119" s="128">
        <f t="shared" si="118"/>
        <v>-19.712143848613461</v>
      </c>
      <c r="AH119" s="134">
        <f t="shared" si="119"/>
        <v>-14.725915354299541</v>
      </c>
    </row>
    <row r="120" spans="1:34">
      <c r="A120" s="125">
        <v>80</v>
      </c>
      <c r="B120" s="126"/>
      <c r="C120" s="128">
        <f>EDisponible!P32</f>
        <v>350519.7594518516</v>
      </c>
      <c r="D120" s="128">
        <f t="shared" si="96"/>
        <v>181300.84905046143</v>
      </c>
      <c r="E120" s="128">
        <f t="shared" si="97"/>
        <v>7.0751402344309691</v>
      </c>
      <c r="F120" s="134">
        <f t="shared" si="98"/>
        <v>5.0540465631618225</v>
      </c>
      <c r="G120" s="128">
        <f>EDisponible!V32</f>
        <v>299808.79130058875</v>
      </c>
      <c r="H120" s="128">
        <f t="shared" si="99"/>
        <v>204425.43325792742</v>
      </c>
      <c r="I120" s="128">
        <f t="shared" si="100"/>
        <v>3.9880332084754047</v>
      </c>
      <c r="J120" s="134">
        <f t="shared" si="101"/>
        <v>2.8538559523093467</v>
      </c>
      <c r="K120" s="128">
        <f>EDisponible!AB32</f>
        <v>248281.00764869625</v>
      </c>
      <c r="L120" s="128">
        <f t="shared" si="102"/>
        <v>233003.35876335364</v>
      </c>
      <c r="M120" s="128">
        <f t="shared" si="103"/>
        <v>0.6387673106971441</v>
      </c>
      <c r="N120" s="134">
        <f t="shared" si="104"/>
        <v>0.45747366570908005</v>
      </c>
      <c r="O120" s="128">
        <f>EDisponible!AH32</f>
        <v>204185.9471823184</v>
      </c>
      <c r="P120" s="128">
        <f t="shared" si="105"/>
        <v>268308.85290341964</v>
      </c>
      <c r="Q120" s="128">
        <f t="shared" si="106"/>
        <v>-2.6810156686380608</v>
      </c>
      <c r="R120" s="134">
        <f t="shared" si="107"/>
        <v>-1.9194176813463786</v>
      </c>
      <c r="S120" s="128">
        <f>EDisponible!AN32</f>
        <v>166671.36396846198</v>
      </c>
      <c r="T120" s="128">
        <f t="shared" si="108"/>
        <v>312008.01975232939</v>
      </c>
      <c r="U120" s="128">
        <f t="shared" si="109"/>
        <v>-6.0766093956933851</v>
      </c>
      <c r="V120" s="134">
        <f t="shared" si="110"/>
        <v>-4.3437099509627188</v>
      </c>
      <c r="W120" s="128">
        <f>EDisponible!AT32</f>
        <v>134955.64773737919</v>
      </c>
      <c r="X120" s="128">
        <f t="shared" si="111"/>
        <v>366298.85361471964</v>
      </c>
      <c r="Y120" s="128">
        <f t="shared" si="112"/>
        <v>-9.6725928560970811</v>
      </c>
      <c r="Z120" s="134">
        <f t="shared" si="113"/>
        <v>-6.8940206615701038</v>
      </c>
      <c r="AA120" s="128">
        <f>EDisponible!AZ32</f>
        <v>108324.38914076731</v>
      </c>
      <c r="AB120" s="128">
        <f t="shared" si="114"/>
        <v>434109.99532641878</v>
      </c>
      <c r="AC120" s="128">
        <f t="shared" si="115"/>
        <v>-13.621284079037835</v>
      </c>
      <c r="AD120" s="134">
        <f t="shared" si="116"/>
        <v>-9.6628600972757273</v>
      </c>
      <c r="AE120" s="128">
        <f>EDisponible!BF32</f>
        <v>86126.984517968202</v>
      </c>
      <c r="AF120" s="128">
        <f t="shared" si="117"/>
        <v>519386.81735552492</v>
      </c>
      <c r="AG120" s="128">
        <f t="shared" si="118"/>
        <v>-18.114843477012784</v>
      </c>
      <c r="AH120" s="134">
        <f t="shared" si="119"/>
        <v>-12.758646670184515</v>
      </c>
    </row>
    <row r="121" spans="1:34">
      <c r="A121" s="125">
        <v>85</v>
      </c>
      <c r="B121" s="126"/>
      <c r="C121" s="128">
        <f>EDisponible!P33</f>
        <v>347691.27159981907</v>
      </c>
      <c r="D121" s="128">
        <f t="shared" si="96"/>
        <v>165106.37328893182</v>
      </c>
      <c r="E121" s="128">
        <f t="shared" si="97"/>
        <v>8.1111036408286523</v>
      </c>
      <c r="F121" s="134">
        <f t="shared" si="98"/>
        <v>5.4509301707282729</v>
      </c>
      <c r="G121" s="128">
        <f>EDisponible!V33</f>
        <v>298425.26196016144</v>
      </c>
      <c r="H121" s="128">
        <f t="shared" si="99"/>
        <v>184976.77341593782</v>
      </c>
      <c r="I121" s="128">
        <f t="shared" si="100"/>
        <v>5.0398059039403602</v>
      </c>
      <c r="J121" s="134">
        <f t="shared" si="101"/>
        <v>3.3931992895355845</v>
      </c>
      <c r="K121" s="128">
        <f>EDisponible!AB33</f>
        <v>247151.91702030363</v>
      </c>
      <c r="L121" s="128">
        <f t="shared" si="102"/>
        <v>209743.87075573613</v>
      </c>
      <c r="M121" s="128">
        <f t="shared" si="103"/>
        <v>1.6618052372337282</v>
      </c>
      <c r="N121" s="134">
        <f t="shared" si="104"/>
        <v>1.1200270358102533</v>
      </c>
      <c r="O121" s="128">
        <f>EDisponible!AH33</f>
        <v>203272.60813285236</v>
      </c>
      <c r="P121" s="128">
        <f t="shared" si="105"/>
        <v>240531.29497777903</v>
      </c>
      <c r="Q121" s="128">
        <f t="shared" si="106"/>
        <v>-1.6551701335441671</v>
      </c>
      <c r="R121" s="134">
        <f t="shared" si="107"/>
        <v>-1.1155562268284838</v>
      </c>
      <c r="S121" s="128">
        <f>EDisponible!AN33</f>
        <v>165939.66980350338</v>
      </c>
      <c r="T121" s="128">
        <f t="shared" si="108"/>
        <v>278810.0322192919</v>
      </c>
      <c r="U121" s="128">
        <f t="shared" si="109"/>
        <v>-5.0141233804206786</v>
      </c>
      <c r="V121" s="134">
        <f t="shared" si="110"/>
        <v>-3.3759478616522358</v>
      </c>
      <c r="W121" s="128">
        <f>EDisponible!AT33</f>
        <v>134375.69397706931</v>
      </c>
      <c r="X121" s="128">
        <f t="shared" si="111"/>
        <v>326522.44874289882</v>
      </c>
      <c r="Y121" s="128">
        <f t="shared" si="112"/>
        <v>-8.535877044446659</v>
      </c>
      <c r="Z121" s="134">
        <f t="shared" si="113"/>
        <v>-5.7345362616427753</v>
      </c>
      <c r="AA121" s="128">
        <f>EDisponible!AZ33</f>
        <v>107870.11197835262</v>
      </c>
      <c r="AB121" s="128">
        <f t="shared" si="114"/>
        <v>386258.34968516539</v>
      </c>
      <c r="AC121" s="128">
        <f t="shared" si="115"/>
        <v>-12.367046066333726</v>
      </c>
      <c r="AD121" s="134">
        <f t="shared" si="116"/>
        <v>-8.2781435664509342</v>
      </c>
      <c r="AE121" s="128">
        <f>EDisponible!BF33</f>
        <v>85775.815924920462</v>
      </c>
      <c r="AF121" s="128">
        <f t="shared" si="117"/>
        <v>461508.39473985351</v>
      </c>
      <c r="AG121" s="128">
        <f t="shared" si="118"/>
        <v>-16.691445547783392</v>
      </c>
      <c r="AH121" s="134">
        <f t="shared" si="119"/>
        <v>-11.109806388879997</v>
      </c>
    </row>
    <row r="122" spans="1:34">
      <c r="A122" s="125">
        <v>90</v>
      </c>
      <c r="B122" s="126"/>
      <c r="C122" s="128">
        <f>EDisponible!P34</f>
        <v>344974.63870980369</v>
      </c>
      <c r="D122" s="128">
        <f t="shared" si="96"/>
        <v>152067.32159760935</v>
      </c>
      <c r="E122" s="128">
        <f t="shared" si="97"/>
        <v>9.0737619529435491</v>
      </c>
      <c r="F122" s="134">
        <f t="shared" si="98"/>
        <v>5.7570827386928176</v>
      </c>
      <c r="G122" s="128">
        <f>EDisponible!V34</f>
        <v>297194.13365650852</v>
      </c>
      <c r="H122" s="128">
        <f t="shared" si="99"/>
        <v>169138.24895542316</v>
      </c>
      <c r="I122" s="128">
        <f t="shared" si="100"/>
        <v>6.0233516895341417</v>
      </c>
      <c r="J122" s="134">
        <f t="shared" si="101"/>
        <v>3.8288749469511845</v>
      </c>
      <c r="K122" s="128">
        <f>EDisponible!AB34</f>
        <v>246151.75978462372</v>
      </c>
      <c r="L122" s="128">
        <f t="shared" si="102"/>
        <v>190647.19741634099</v>
      </c>
      <c r="M122" s="128">
        <f t="shared" si="103"/>
        <v>2.6107624831005936</v>
      </c>
      <c r="N122" s="134">
        <f t="shared" si="104"/>
        <v>1.661597049000451</v>
      </c>
      <c r="O122" s="128">
        <f>EDisponible!AH34</f>
        <v>202467.69481032461</v>
      </c>
      <c r="P122" s="128">
        <f t="shared" si="105"/>
        <v>217590.99262570456</v>
      </c>
      <c r="Q122" s="128">
        <f t="shared" si="106"/>
        <v>-0.7113530288766553</v>
      </c>
      <c r="R122" s="134">
        <f t="shared" si="107"/>
        <v>-0.45285197328532134</v>
      </c>
      <c r="S122" s="128">
        <f>EDisponible!AN34</f>
        <v>165298.56819453879</v>
      </c>
      <c r="T122" s="128">
        <f t="shared" si="108"/>
        <v>251276.53506031612</v>
      </c>
      <c r="U122" s="128">
        <f t="shared" si="109"/>
        <v>-4.0441369265656331</v>
      </c>
      <c r="V122" s="134">
        <f t="shared" si="110"/>
        <v>-2.5728468140367764</v>
      </c>
      <c r="W122" s="128">
        <f>EDisponible!AT34</f>
        <v>133870.90712433326</v>
      </c>
      <c r="X122" s="128">
        <f t="shared" si="111"/>
        <v>293431.42379650817</v>
      </c>
      <c r="Y122" s="128">
        <f t="shared" si="112"/>
        <v>-7.5052318753152898</v>
      </c>
      <c r="Z122" s="134">
        <f t="shared" si="113"/>
        <v>-4.7669494196314064</v>
      </c>
      <c r="AA122" s="128">
        <f>EDisponible!AZ34</f>
        <v>107477.73455580589</v>
      </c>
      <c r="AB122" s="128">
        <f t="shared" si="114"/>
        <v>346360.9942299336</v>
      </c>
      <c r="AC122" s="128">
        <f t="shared" si="115"/>
        <v>-11.236327710501421</v>
      </c>
      <c r="AD122" s="134">
        <f t="shared" si="116"/>
        <v>-7.1164460473560869</v>
      </c>
      <c r="AE122" s="128">
        <f>EDisponible!BF34</f>
        <v>85475.206691032101</v>
      </c>
      <c r="AF122" s="128">
        <f t="shared" si="117"/>
        <v>413174.35620203667</v>
      </c>
      <c r="AG122" s="128">
        <f t="shared" si="118"/>
        <v>-15.413951732663175</v>
      </c>
      <c r="AH122" s="134">
        <f t="shared" si="119"/>
        <v>-9.7185368281607438</v>
      </c>
    </row>
    <row r="123" spans="1:34">
      <c r="A123" s="125">
        <v>95</v>
      </c>
      <c r="B123" s="126"/>
      <c r="C123" s="128">
        <f>EDisponible!P35</f>
        <v>342360.43197293096</v>
      </c>
      <c r="D123" s="128">
        <f t="shared" si="96"/>
        <v>141566.89907402199</v>
      </c>
      <c r="E123" s="128">
        <f t="shared" si="97"/>
        <v>9.969410924981581</v>
      </c>
      <c r="F123" s="134">
        <f t="shared" si="98"/>
        <v>5.9907588406416101</v>
      </c>
      <c r="G123" s="128">
        <f>EDisponible!V35</f>
        <v>296108.00965019141</v>
      </c>
      <c r="H123" s="128">
        <f t="shared" si="99"/>
        <v>156195.86436305658</v>
      </c>
      <c r="I123" s="128">
        <f t="shared" si="100"/>
        <v>6.9466463865916239</v>
      </c>
      <c r="J123" s="134">
        <f t="shared" si="101"/>
        <v>4.1821726900430525</v>
      </c>
      <c r="K123" s="128">
        <f>EDisponible!AB35</f>
        <v>245274.34068283299</v>
      </c>
      <c r="L123" s="128">
        <f t="shared" si="102"/>
        <v>174882.5061304718</v>
      </c>
      <c r="M123" s="128">
        <f t="shared" si="103"/>
        <v>3.4949587981457282</v>
      </c>
      <c r="N123" s="134">
        <f t="shared" si="104"/>
        <v>2.1069065467594816</v>
      </c>
      <c r="O123" s="128">
        <f>EDisponible!AH35</f>
        <v>201766.05274977986</v>
      </c>
      <c r="P123" s="128">
        <f t="shared" si="105"/>
        <v>198515.73129637056</v>
      </c>
      <c r="Q123" s="128">
        <f t="shared" si="106"/>
        <v>0.16137865467825901</v>
      </c>
      <c r="R123" s="134">
        <f t="shared" si="107"/>
        <v>9.7329546554470972E-2</v>
      </c>
      <c r="S123" s="128">
        <f>EDisponible!AN35</f>
        <v>164743.80136962674</v>
      </c>
      <c r="T123" s="128">
        <f t="shared" si="108"/>
        <v>228262.99707108122</v>
      </c>
      <c r="U123" s="128">
        <f t="shared" si="109"/>
        <v>-3.1537318679030233</v>
      </c>
      <c r="V123" s="134">
        <f t="shared" si="110"/>
        <v>-1.9013599046952141</v>
      </c>
      <c r="W123" s="128">
        <f>EDisponible!AT35</f>
        <v>133437.797411818</v>
      </c>
      <c r="X123" s="128">
        <f t="shared" si="111"/>
        <v>265669.59414400917</v>
      </c>
      <c r="Y123" s="128">
        <f t="shared" si="112"/>
        <v>-6.5653166212058487</v>
      </c>
      <c r="Z123" s="134">
        <f t="shared" si="113"/>
        <v>-3.9533451523896055</v>
      </c>
      <c r="AA123" s="128">
        <f>EDisponible!AZ35</f>
        <v>107144.42070347619</v>
      </c>
      <c r="AB123" s="128">
        <f t="shared" si="114"/>
        <v>312799.58664713422</v>
      </c>
      <c r="AC123" s="128">
        <f t="shared" si="115"/>
        <v>-10.210791296599298</v>
      </c>
      <c r="AD123" s="134">
        <f t="shared" si="116"/>
        <v>-6.1347145693527896</v>
      </c>
      <c r="AE123" s="128">
        <f>EDisponible!BF35</f>
        <v>85222.873030687013</v>
      </c>
      <c r="AF123" s="128">
        <f t="shared" si="117"/>
        <v>372438.68038815277</v>
      </c>
      <c r="AG123" s="128">
        <f t="shared" si="118"/>
        <v>-14.260282023816528</v>
      </c>
      <c r="AH123" s="134">
        <f t="shared" si="119"/>
        <v>-8.53683028336234</v>
      </c>
    </row>
    <row r="124" spans="1:34">
      <c r="A124" s="125">
        <v>100</v>
      </c>
      <c r="B124" s="126"/>
      <c r="C124" s="128">
        <f>EDisponible!P36</f>
        <v>339840.20704926195</v>
      </c>
      <c r="D124" s="128">
        <f t="shared" si="96"/>
        <v>133138.5441423317</v>
      </c>
      <c r="E124" s="128">
        <f t="shared" si="97"/>
        <v>10.802894666793366</v>
      </c>
      <c r="F124" s="134">
        <f t="shared" si="98"/>
        <v>6.165691837704955</v>
      </c>
      <c r="G124" s="128">
        <f>EDisponible!V36</f>
        <v>295160.4365717147</v>
      </c>
      <c r="H124" s="128">
        <f t="shared" si="99"/>
        <v>145609.53269826167</v>
      </c>
      <c r="I124" s="128">
        <f t="shared" si="100"/>
        <v>7.816011923407153</v>
      </c>
      <c r="J124" s="134">
        <f t="shared" si="101"/>
        <v>4.4691590329356012</v>
      </c>
      <c r="K124" s="128">
        <f>EDisponible!AB36</f>
        <v>244514.25671274634</v>
      </c>
      <c r="L124" s="128">
        <f t="shared" si="102"/>
        <v>161821.33098114873</v>
      </c>
      <c r="M124" s="128">
        <f t="shared" si="103"/>
        <v>4.321798643534108</v>
      </c>
      <c r="N124" s="134">
        <f t="shared" si="104"/>
        <v>2.4746682646479798</v>
      </c>
      <c r="O124" s="128">
        <f>EDisponible!AH36</f>
        <v>201163.18866932034</v>
      </c>
      <c r="P124" s="128">
        <f t="shared" si="105"/>
        <v>182570.0996706041</v>
      </c>
      <c r="Q124" s="128">
        <f t="shared" si="106"/>
        <v>0.97173471736357109</v>
      </c>
      <c r="R124" s="134">
        <f t="shared" si="107"/>
        <v>0.55674545764991912</v>
      </c>
      <c r="S124" s="128">
        <f>EDisponible!AN36</f>
        <v>164271.65963975716</v>
      </c>
      <c r="T124" s="128">
        <f t="shared" si="108"/>
        <v>208903.66161166714</v>
      </c>
      <c r="U124" s="128">
        <f t="shared" si="109"/>
        <v>-2.3326121778118103</v>
      </c>
      <c r="V124" s="134">
        <f t="shared" si="110"/>
        <v>-1.3362460114196122</v>
      </c>
      <c r="W124" s="128">
        <f>EDisponible!AT36</f>
        <v>133073.32610977374</v>
      </c>
      <c r="X124" s="128">
        <f t="shared" si="111"/>
        <v>242211.10234675862</v>
      </c>
      <c r="Y124" s="128">
        <f t="shared" si="112"/>
        <v>-5.7038917068948365</v>
      </c>
      <c r="Z124" s="134">
        <f t="shared" si="113"/>
        <v>-3.2645519431831054</v>
      </c>
      <c r="AA124" s="128">
        <f>EDisponible!AZ36</f>
        <v>106867.70252222659</v>
      </c>
      <c r="AB124" s="128">
        <f t="shared" si="114"/>
        <v>284349.96581441083</v>
      </c>
      <c r="AC124" s="128">
        <f t="shared" si="115"/>
        <v>-9.2757947304606283</v>
      </c>
      <c r="AD124" s="134">
        <f t="shared" si="116"/>
        <v>-5.2994746548984599</v>
      </c>
      <c r="AE124" s="128">
        <f>EDisponible!BF36</f>
        <v>85016.829299970108</v>
      </c>
      <c r="AF124" s="128">
        <f t="shared" si="117"/>
        <v>337829.34023400053</v>
      </c>
      <c r="AG124" s="128">
        <f t="shared" si="118"/>
        <v>-13.212796102649586</v>
      </c>
      <c r="AH124" s="134">
        <f t="shared" si="119"/>
        <v>-7.5267762737488617</v>
      </c>
    </row>
    <row r="125" spans="1:34">
      <c r="A125" s="125">
        <v>105</v>
      </c>
      <c r="B125" s="126"/>
      <c r="C125" s="128">
        <f>EDisponible!P37</f>
        <v>337406.32285816589</v>
      </c>
      <c r="D125" s="128">
        <f t="shared" si="96"/>
        <v>126424.06475761873</v>
      </c>
      <c r="E125" s="128">
        <f t="shared" si="97"/>
        <v>11.57794297688403</v>
      </c>
      <c r="F125" s="134">
        <f t="shared" si="98"/>
        <v>6.2923635198721293</v>
      </c>
      <c r="G125" s="128">
        <f>EDisponible!V37</f>
        <v>294345.7504059567</v>
      </c>
      <c r="H125" s="128">
        <f t="shared" si="99"/>
        <v>136964.61448857005</v>
      </c>
      <c r="I125" s="128">
        <f t="shared" si="100"/>
        <v>8.6365073238545076</v>
      </c>
      <c r="J125" s="134">
        <f t="shared" si="101"/>
        <v>4.7021333029737473</v>
      </c>
      <c r="K125" s="128">
        <f>EDisponible!AB37</f>
        <v>243866.76811507836</v>
      </c>
      <c r="L125" s="128">
        <f t="shared" si="102"/>
        <v>150981.18154562131</v>
      </c>
      <c r="M125" s="128">
        <f t="shared" si="103"/>
        <v>5.0972249247758423</v>
      </c>
      <c r="N125" s="134">
        <f t="shared" si="104"/>
        <v>2.77924174297811</v>
      </c>
      <c r="O125" s="128">
        <f>EDisponible!AH37</f>
        <v>200655.16309880713</v>
      </c>
      <c r="P125" s="128">
        <f t="shared" si="105"/>
        <v>169189.50242398636</v>
      </c>
      <c r="Q125" s="128">
        <f t="shared" si="106"/>
        <v>1.7267216130061525</v>
      </c>
      <c r="R125" s="134">
        <f t="shared" si="107"/>
        <v>0.94214232198541759</v>
      </c>
      <c r="S125" s="128">
        <f>EDisponible!AN37</f>
        <v>163878.89266139604</v>
      </c>
      <c r="T125" s="128">
        <f t="shared" si="108"/>
        <v>192533.86370039661</v>
      </c>
      <c r="U125" s="128">
        <f t="shared" si="109"/>
        <v>-1.5724811350521404</v>
      </c>
      <c r="V125" s="134">
        <f t="shared" si="110"/>
        <v>-0.85799807299909159</v>
      </c>
      <c r="W125" s="128">
        <f>EDisponible!AT37</f>
        <v>132774.8327392783</v>
      </c>
      <c r="X125" s="128">
        <f t="shared" si="111"/>
        <v>222268.36967394539</v>
      </c>
      <c r="Y125" s="128">
        <f t="shared" si="112"/>
        <v>-4.9110815134770478</v>
      </c>
      <c r="Z125" s="134">
        <f t="shared" si="113"/>
        <v>-2.6778983182104152</v>
      </c>
      <c r="AA125" s="128">
        <f>EDisponible!AZ37</f>
        <v>106645.42116521565</v>
      </c>
      <c r="AB125" s="128">
        <f t="shared" si="114"/>
        <v>260072.3098552179</v>
      </c>
      <c r="AC125" s="128">
        <f t="shared" si="115"/>
        <v>-8.4195125427419661</v>
      </c>
      <c r="AD125" s="134">
        <f t="shared" si="116"/>
        <v>-4.5845008819308326</v>
      </c>
      <c r="AE125" s="128">
        <f>EDisponible!BF37</f>
        <v>84855.340242475781</v>
      </c>
      <c r="AF125" s="128">
        <f t="shared" si="117"/>
        <v>308216.22042016796</v>
      </c>
      <c r="AG125" s="128">
        <f t="shared" si="118"/>
        <v>-12.25723696980964</v>
      </c>
      <c r="AH125" s="134">
        <f t="shared" si="119"/>
        <v>-6.6583210131506325</v>
      </c>
    </row>
    <row r="126" spans="1:34">
      <c r="A126" s="125">
        <v>110</v>
      </c>
      <c r="B126" s="126"/>
      <c r="C126" s="128">
        <f>EDisponible!P38</f>
        <v>335051.79833197762</v>
      </c>
      <c r="D126" s="128">
        <f t="shared" si="96"/>
        <v>121144.7784520993</v>
      </c>
      <c r="E126" s="128">
        <f t="shared" si="97"/>
        <v>12.297416812846432</v>
      </c>
      <c r="F126" s="134">
        <f t="shared" si="98"/>
        <v>6.3788778560624104</v>
      </c>
      <c r="G126" s="128">
        <f>EDisponible!V38</f>
        <v>293658.95471207483</v>
      </c>
      <c r="H126" s="128">
        <f t="shared" si="99"/>
        <v>129938.50974029973</v>
      </c>
      <c r="I126" s="128">
        <f t="shared" si="100"/>
        <v>9.412213557709407</v>
      </c>
      <c r="J126" s="134">
        <f t="shared" si="101"/>
        <v>4.8906341526374018</v>
      </c>
      <c r="K126" s="128">
        <f>EDisponible!AB38</f>
        <v>243327.6963469839</v>
      </c>
      <c r="L126" s="128">
        <f t="shared" si="102"/>
        <v>141986.66807528585</v>
      </c>
      <c r="M126" s="128">
        <f t="shared" si="103"/>
        <v>5.8260494003392687</v>
      </c>
      <c r="N126" s="134">
        <f t="shared" si="104"/>
        <v>3.0317857639493186</v>
      </c>
      <c r="O126" s="128">
        <f>EDisponible!AH38</f>
        <v>200238.5054548867</v>
      </c>
      <c r="P126" s="128">
        <f t="shared" si="105"/>
        <v>157934.67011840508</v>
      </c>
      <c r="Q126" s="128">
        <f t="shared" si="106"/>
        <v>2.4320281597437776</v>
      </c>
      <c r="R126" s="134">
        <f t="shared" si="107"/>
        <v>1.2665659168326191</v>
      </c>
      <c r="S126" s="128">
        <f>EDisponible!AN38</f>
        <v>163562.63923757305</v>
      </c>
      <c r="T126" s="128">
        <f t="shared" si="108"/>
        <v>178636.47717556264</v>
      </c>
      <c r="U126" s="128">
        <f t="shared" si="109"/>
        <v>-0.86658805399117622</v>
      </c>
      <c r="V126" s="134">
        <f t="shared" si="110"/>
        <v>-0.45137100827772964</v>
      </c>
      <c r="W126" s="128">
        <f>EDisponible!AT38</f>
        <v>132539.97748070644</v>
      </c>
      <c r="X126" s="128">
        <f t="shared" si="111"/>
        <v>205228.63995917953</v>
      </c>
      <c r="Y126" s="128">
        <f t="shared" si="112"/>
        <v>-4.1788379856260152</v>
      </c>
      <c r="Z126" s="134">
        <f t="shared" si="113"/>
        <v>-2.1755881637503123</v>
      </c>
      <c r="AA126" s="128">
        <f>EDisponible!AZ38</f>
        <v>106475.6799725747</v>
      </c>
      <c r="AB126" s="128">
        <f t="shared" si="114"/>
        <v>239235.41358633721</v>
      </c>
      <c r="AC126" s="128">
        <f t="shared" si="115"/>
        <v>-7.6322964114394232</v>
      </c>
      <c r="AD126" s="134">
        <f t="shared" si="116"/>
        <v>-3.9690785783730402</v>
      </c>
      <c r="AE126" s="128">
        <f>EDisponible!BF38</f>
        <v>84736.88318804992</v>
      </c>
      <c r="AF126" s="128">
        <f t="shared" si="117"/>
        <v>282720.06265334343</v>
      </c>
      <c r="AG126" s="128">
        <f t="shared" si="118"/>
        <v>-11.381962504944967</v>
      </c>
      <c r="AH126" s="134">
        <f t="shared" si="119"/>
        <v>-5.907507916021749</v>
      </c>
    </row>
    <row r="127" spans="1:34">
      <c r="A127" s="125">
        <v>115</v>
      </c>
      <c r="B127" s="126"/>
      <c r="C127" s="128">
        <f>EDisponible!P39</f>
        <v>332770.19771687372</v>
      </c>
      <c r="D127" s="128">
        <f t="shared" si="96"/>
        <v>117081.2366943747</v>
      </c>
      <c r="E127" s="128">
        <f t="shared" si="97"/>
        <v>12.963489785421265</v>
      </c>
      <c r="F127" s="134">
        <f t="shared" si="98"/>
        <v>6.4315733139886717</v>
      </c>
      <c r="G127" s="128">
        <f>EDisponible!V39</f>
        <v>293095.62313872651</v>
      </c>
      <c r="H127" s="128">
        <f t="shared" si="99"/>
        <v>124277.18706279412</v>
      </c>
      <c r="I127" s="128">
        <f t="shared" si="100"/>
        <v>10.146444497142614</v>
      </c>
      <c r="J127" s="134">
        <f t="shared" si="101"/>
        <v>5.042147361281577</v>
      </c>
      <c r="K127" s="128">
        <f>EDisponible!AB39</f>
        <v>242893.34239698388</v>
      </c>
      <c r="L127" s="128">
        <f t="shared" si="102"/>
        <v>134542.18988277856</v>
      </c>
      <c r="M127" s="128">
        <f t="shared" si="103"/>
        <v>6.5121972501411616</v>
      </c>
      <c r="N127" s="134">
        <f t="shared" si="104"/>
        <v>3.2410726340901195</v>
      </c>
      <c r="O127" s="128">
        <f>EDisponible!AH39</f>
        <v>199910.14603609068</v>
      </c>
      <c r="P127" s="128">
        <f t="shared" si="105"/>
        <v>148459.69999991701</v>
      </c>
      <c r="Q127" s="128">
        <f t="shared" si="106"/>
        <v>3.0923109299772253</v>
      </c>
      <c r="R127" s="134">
        <f t="shared" si="107"/>
        <v>1.5402928788088532</v>
      </c>
      <c r="S127" s="128">
        <f>EDisponible!AN39</f>
        <v>163320.37109459948</v>
      </c>
      <c r="T127" s="128">
        <f t="shared" si="108"/>
        <v>166804.29100004156</v>
      </c>
      <c r="U127" s="128">
        <f t="shared" si="109"/>
        <v>-0.20939300691755397</v>
      </c>
      <c r="V127" s="134">
        <f t="shared" si="110"/>
        <v>-0.10432454171758508</v>
      </c>
      <c r="W127" s="128">
        <f>EDisponible!AT39</f>
        <v>132366.69503853243</v>
      </c>
      <c r="X127" s="128">
        <f t="shared" si="111"/>
        <v>190609.3983105513</v>
      </c>
      <c r="Y127" s="128">
        <f t="shared" si="112"/>
        <v>-3.5005439562731242</v>
      </c>
      <c r="Z127" s="134">
        <f t="shared" si="113"/>
        <v>-1.7435172456296213</v>
      </c>
      <c r="AA127" s="128">
        <f>EDisponible!AZ39</f>
        <v>106356.80692044395</v>
      </c>
      <c r="AB127" s="128">
        <f t="shared" si="114"/>
        <v>221263.48942814677</v>
      </c>
      <c r="AC127" s="128">
        <f t="shared" si="115"/>
        <v>-6.9062023290559926</v>
      </c>
      <c r="AD127" s="134">
        <f t="shared" si="116"/>
        <v>-3.4367094181272915</v>
      </c>
      <c r="AE127" s="128">
        <f>EDisponible!BF39</f>
        <v>84660.117757138243</v>
      </c>
      <c r="AF127" s="128">
        <f t="shared" si="117"/>
        <v>260648.49492059837</v>
      </c>
      <c r="AG127" s="128">
        <f t="shared" si="118"/>
        <v>-10.577377344190554</v>
      </c>
      <c r="AH127" s="134">
        <f t="shared" si="119"/>
        <v>-5.2551192350726232</v>
      </c>
    </row>
    <row r="128" spans="1:34">
      <c r="A128" s="125">
        <v>120</v>
      </c>
      <c r="B128" s="126"/>
      <c r="C128" s="128">
        <f>EDisponible!P40</f>
        <v>330555.53763834399</v>
      </c>
      <c r="D128" s="128">
        <f t="shared" si="96"/>
        <v>114058.73474065565</v>
      </c>
      <c r="E128" s="128">
        <f t="shared" si="97"/>
        <v>13.577784278132214</v>
      </c>
      <c r="F128" s="134">
        <f t="shared" si="98"/>
        <v>6.4554591723941446</v>
      </c>
      <c r="G128" s="128">
        <f>EDisponible!V40</f>
        <v>292651.82051278109</v>
      </c>
      <c r="H128" s="128">
        <f t="shared" si="99"/>
        <v>119778.41001939884</v>
      </c>
      <c r="I128" s="128">
        <f t="shared" si="100"/>
        <v>10.841905486305935</v>
      </c>
      <c r="J128" s="134">
        <f t="shared" si="101"/>
        <v>5.1626115683896874</v>
      </c>
      <c r="K128" s="128">
        <f>EDisponible!AB40</f>
        <v>242560.42065191231</v>
      </c>
      <c r="L128" s="128">
        <f t="shared" si="102"/>
        <v>128412.41687944168</v>
      </c>
      <c r="M128" s="128">
        <f t="shared" si="103"/>
        <v>7.1588908023480897</v>
      </c>
      <c r="N128" s="134">
        <f t="shared" si="104"/>
        <v>3.4140721746397862</v>
      </c>
      <c r="O128" s="128">
        <f>EDisponible!AH40</f>
        <v>199667.36095533319</v>
      </c>
      <c r="P128" s="128">
        <f t="shared" si="105"/>
        <v>140489.2160994123</v>
      </c>
      <c r="Q128" s="128">
        <f t="shared" si="106"/>
        <v>3.7114085477441154</v>
      </c>
      <c r="R128" s="134">
        <f t="shared" si="107"/>
        <v>1.7715023395416483</v>
      </c>
      <c r="S128" s="128">
        <f>EDisponible!AN40</f>
        <v>163149.84734582761</v>
      </c>
      <c r="T128" s="128">
        <f t="shared" si="108"/>
        <v>156713.12118656564</v>
      </c>
      <c r="U128" s="128">
        <f t="shared" si="109"/>
        <v>0.40368484928237608</v>
      </c>
      <c r="V128" s="134">
        <f t="shared" si="110"/>
        <v>0.1927445905640541</v>
      </c>
      <c r="W128" s="128">
        <f>EDisponible!AT40</f>
        <v>132253.15726760455</v>
      </c>
      <c r="X128" s="128">
        <f t="shared" si="111"/>
        <v>178026.51073532779</v>
      </c>
      <c r="Y128" s="128">
        <f t="shared" si="112"/>
        <v>-2.8707154597804796</v>
      </c>
      <c r="Z128" s="134">
        <f t="shared" si="113"/>
        <v>-1.3704042829070511</v>
      </c>
      <c r="AA128" s="128">
        <f>EDisponible!AZ40</f>
        <v>106287.32419416885</v>
      </c>
      <c r="AB128" s="128">
        <f t="shared" si="114"/>
        <v>205698.14824979281</v>
      </c>
      <c r="AC128" s="128">
        <f t="shared" si="115"/>
        <v>-6.2346358277470477</v>
      </c>
      <c r="AD128" s="134">
        <f t="shared" si="116"/>
        <v>-2.9741451654215418</v>
      </c>
      <c r="AE128" s="128">
        <f>EDisponible!BF40</f>
        <v>84623.861306572406</v>
      </c>
      <c r="AF128" s="128">
        <f t="shared" si="117"/>
        <v>241450.31428448492</v>
      </c>
      <c r="AG128" s="128">
        <f t="shared" si="118"/>
        <v>-9.8355066640177036</v>
      </c>
      <c r="AH128" s="134">
        <f t="shared" si="119"/>
        <v>-4.6856347606171784</v>
      </c>
    </row>
    <row r="129" spans="1:34">
      <c r="A129" s="125">
        <v>125</v>
      </c>
      <c r="B129" s="126"/>
      <c r="C129" s="128">
        <f>EDisponible!P41</f>
        <v>328402.21096683957</v>
      </c>
      <c r="D129" s="128">
        <f t="shared" si="96"/>
        <v>111936.7944230241</v>
      </c>
      <c r="E129" s="128">
        <f t="shared" si="97"/>
        <v>14.141474849789326</v>
      </c>
      <c r="F129" s="134">
        <f t="shared" si="98"/>
        <v>6.4545311986366034</v>
      </c>
      <c r="G129" s="128">
        <f>EDisponible!V41</f>
        <v>292324.03831155412</v>
      </c>
      <c r="H129" s="128">
        <f t="shared" si="99"/>
        <v>116279.56250999389</v>
      </c>
      <c r="I129" s="128">
        <f t="shared" si="100"/>
        <v>11.500814156556947</v>
      </c>
      <c r="J129" s="134">
        <f t="shared" si="101"/>
        <v>5.2567849910006554</v>
      </c>
      <c r="K129" s="128">
        <f>EDisponible!AB41</f>
        <v>242326.00480857198</v>
      </c>
      <c r="L129" s="128">
        <f t="shared" si="102"/>
        <v>123408.12272262652</v>
      </c>
      <c r="M129" s="128">
        <f t="shared" si="103"/>
        <v>7.7687894240058304</v>
      </c>
      <c r="N129" s="134">
        <f t="shared" si="104"/>
        <v>3.5563764480770614</v>
      </c>
      <c r="O129" s="128">
        <f>EDisponible!AH41</f>
        <v>199507.72709308294</v>
      </c>
      <c r="P129" s="128">
        <f t="shared" si="105"/>
        <v>133801.79162108584</v>
      </c>
      <c r="Q129" s="128">
        <f t="shared" si="106"/>
        <v>4.2925047741797098</v>
      </c>
      <c r="R129" s="134">
        <f t="shared" si="107"/>
        <v>1.9667664043889355</v>
      </c>
      <c r="S129" s="128">
        <f>EDisponible!AN41</f>
        <v>163049.07723391466</v>
      </c>
      <c r="T129" s="128">
        <f t="shared" si="108"/>
        <v>148102.29494736757</v>
      </c>
      <c r="U129" s="128">
        <f t="shared" si="109"/>
        <v>0.97645873029190489</v>
      </c>
      <c r="V129" s="134">
        <f t="shared" si="110"/>
        <v>0.44756660923265479</v>
      </c>
      <c r="W129" s="128">
        <f>EDisponible!AT41</f>
        <v>132197.74258706821</v>
      </c>
      <c r="X129" s="128">
        <f t="shared" si="111"/>
        <v>167171.09930401621</v>
      </c>
      <c r="Y129" s="128">
        <f t="shared" si="112"/>
        <v>-2.2847753341944221</v>
      </c>
      <c r="Z129" s="134">
        <f t="shared" si="113"/>
        <v>-1.0471472659170085</v>
      </c>
      <c r="AA129" s="128">
        <f>EDisponible!AZ41</f>
        <v>106265.92328136072</v>
      </c>
      <c r="AB129" s="128">
        <f t="shared" si="114"/>
        <v>192170.80437982091</v>
      </c>
      <c r="AC129" s="128">
        <f t="shared" si="115"/>
        <v>-5.6120822204507723</v>
      </c>
      <c r="AD129" s="134">
        <f t="shared" si="116"/>
        <v>-2.5706626948184548</v>
      </c>
      <c r="AE129" s="128">
        <f>EDisponible!BF41</f>
        <v>84627.068824460483</v>
      </c>
      <c r="AF129" s="128">
        <f t="shared" si="117"/>
        <v>224682.30450986116</v>
      </c>
      <c r="AG129" s="128">
        <f t="shared" si="118"/>
        <v>-9.1496721492484365</v>
      </c>
      <c r="AH129" s="134">
        <f t="shared" si="119"/>
        <v>-4.186434665886269</v>
      </c>
    </row>
    <row r="130" spans="1:34">
      <c r="A130" s="125">
        <v>130</v>
      </c>
      <c r="B130" s="126"/>
      <c r="C130" s="128">
        <f>EDisponible!P42</f>
        <v>326304.92379693151</v>
      </c>
      <c r="D130" s="128">
        <f t="shared" si="96"/>
        <v>110601.42201633946</v>
      </c>
      <c r="E130" s="128">
        <f t="shared" si="97"/>
        <v>14.655367688340494</v>
      </c>
      <c r="F130" s="134">
        <f t="shared" si="98"/>
        <v>6.4320032676077368</v>
      </c>
      <c r="G130" s="128">
        <f>EDisponible!V42</f>
        <v>292109.14140531869</v>
      </c>
      <c r="H130" s="128">
        <f t="shared" si="99"/>
        <v>113648.68655637352</v>
      </c>
      <c r="I130" s="128">
        <f t="shared" si="100"/>
        <v>12.124993623423409</v>
      </c>
      <c r="J130" s="134">
        <f t="shared" si="101"/>
        <v>5.3285149854606235</v>
      </c>
      <c r="K130" s="128">
        <f>EDisponible!AB42</f>
        <v>242187.48322394607</v>
      </c>
      <c r="L130" s="128">
        <f t="shared" si="102"/>
        <v>119375.75603838699</v>
      </c>
      <c r="M130" s="128">
        <f t="shared" si="103"/>
        <v>8.344097353483356</v>
      </c>
      <c r="N130" s="134">
        <f t="shared" si="104"/>
        <v>3.6725127155845407</v>
      </c>
      <c r="O130" s="128">
        <f>EDisponible!AH42</f>
        <v>199429.08490379006</v>
      </c>
      <c r="P130" s="128">
        <f t="shared" si="105"/>
        <v>128217.74551076503</v>
      </c>
      <c r="Q130" s="128">
        <f t="shared" si="106"/>
        <v>4.8382541487228101</v>
      </c>
      <c r="R130" s="134">
        <f t="shared" si="107"/>
        <v>2.1314127524905038</v>
      </c>
      <c r="S130" s="128">
        <f>EDisponible!AN42</f>
        <v>163016.28936169163</v>
      </c>
      <c r="T130" s="128">
        <f t="shared" si="108"/>
        <v>140760.28430937667</v>
      </c>
      <c r="U130" s="128">
        <f t="shared" si="109"/>
        <v>1.5121216606256622</v>
      </c>
      <c r="V130" s="134">
        <f t="shared" si="110"/>
        <v>0.66641755614029174</v>
      </c>
      <c r="W130" s="128">
        <f>EDisponible!AT42</f>
        <v>132199.01071500129</v>
      </c>
      <c r="X130" s="128">
        <f t="shared" si="111"/>
        <v>157792.51904937087</v>
      </c>
      <c r="Y130" s="128">
        <f t="shared" si="112"/>
        <v>-1.7388789332512404</v>
      </c>
      <c r="Z130" s="134">
        <f t="shared" si="113"/>
        <v>-0.7663421748710384</v>
      </c>
      <c r="AA130" s="128">
        <f>EDisponible!AZ42</f>
        <v>106291.44439242585</v>
      </c>
      <c r="AB130" s="128">
        <f t="shared" si="114"/>
        <v>180382.36184947495</v>
      </c>
      <c r="AC130" s="128">
        <f t="shared" si="115"/>
        <v>-5.0338989804811671</v>
      </c>
      <c r="AD130" s="134">
        <f t="shared" si="116"/>
        <v>-2.2175164703149677</v>
      </c>
      <c r="AE130" s="128">
        <f>EDisponible!BF42</f>
        <v>84668.816313572737</v>
      </c>
      <c r="AF130" s="128">
        <f t="shared" si="117"/>
        <v>209984.80921427728</v>
      </c>
      <c r="AG130" s="128">
        <f t="shared" si="118"/>
        <v>-8.5142426433919667</v>
      </c>
      <c r="AH130" s="134">
        <f t="shared" si="119"/>
        <v>-3.7471880401637003</v>
      </c>
    </row>
    <row r="131" spans="1:34">
      <c r="A131" s="125">
        <v>135</v>
      </c>
      <c r="B131" s="126"/>
      <c r="C131" s="128">
        <f>EDisponible!P43</f>
        <v>324258.64276581822</v>
      </c>
      <c r="D131" s="128">
        <f t="shared" si="96"/>
        <v>109959.33483086192</v>
      </c>
      <c r="E131" s="128">
        <f t="shared" si="97"/>
        <v>15.119962290632738</v>
      </c>
      <c r="F131" s="134">
        <f t="shared" si="98"/>
        <v>6.3904795085654404</v>
      </c>
      <c r="G131" s="128">
        <f>EDisponible!V43</f>
        <v>292004.32372599276</v>
      </c>
      <c r="H131" s="128">
        <f t="shared" si="99"/>
        <v>111777.79906451669</v>
      </c>
      <c r="I131" s="128">
        <f t="shared" si="100"/>
        <v>12.71594520258741</v>
      </c>
      <c r="J131" s="134">
        <f t="shared" si="101"/>
        <v>5.3809387054507054</v>
      </c>
      <c r="K131" s="128">
        <f>EDisponible!AB43</f>
        <v>242142.52174157125</v>
      </c>
      <c r="L131" s="128">
        <f t="shared" si="102"/>
        <v>116189.66354925295</v>
      </c>
      <c r="M131" s="128">
        <f t="shared" si="103"/>
        <v>8.8866477666987436</v>
      </c>
      <c r="N131" s="134">
        <f t="shared" si="104"/>
        <v>3.7661768622420597</v>
      </c>
      <c r="O131" s="128">
        <f>EDisponible!AH43</f>
        <v>199429.50744342734</v>
      </c>
      <c r="P131" s="128">
        <f t="shared" si="105"/>
        <v>123590.04220129162</v>
      </c>
      <c r="Q131" s="128">
        <f t="shared" si="106"/>
        <v>5.3508798775537123</v>
      </c>
      <c r="R131" s="134">
        <f t="shared" si="107"/>
        <v>2.2697958159388176</v>
      </c>
      <c r="S131" s="128">
        <f>EDisponible!AN43</f>
        <v>163049.90606369174</v>
      </c>
      <c r="T131" s="128">
        <f t="shared" si="108"/>
        <v>134513.99291786904</v>
      </c>
      <c r="U131" s="128">
        <f t="shared" si="109"/>
        <v>2.0133612882434826</v>
      </c>
      <c r="V131" s="134">
        <f t="shared" si="110"/>
        <v>0.85443372575093934</v>
      </c>
      <c r="W131" s="128">
        <f>EDisponible!AT43</f>
        <v>132255.6816189489</v>
      </c>
      <c r="X131" s="128">
        <f t="shared" si="111"/>
        <v>149685.66362290087</v>
      </c>
      <c r="Y131" s="128">
        <f t="shared" si="112"/>
        <v>-1.2297784494299457</v>
      </c>
      <c r="Z131" s="134">
        <f t="shared" si="113"/>
        <v>-0.52191974795320073</v>
      </c>
      <c r="AA131" s="128">
        <f>EDisponible!AZ43</f>
        <v>106362.85931044674</v>
      </c>
      <c r="AB131" s="128">
        <f t="shared" si="114"/>
        <v>170088.06616528169</v>
      </c>
      <c r="AC131" s="128">
        <f t="shared" si="115"/>
        <v>-4.4961541588380767</v>
      </c>
      <c r="AD131" s="134">
        <f t="shared" si="116"/>
        <v>-1.9075220173381662</v>
      </c>
      <c r="AE131" s="128">
        <f>EDisponible!BF43</f>
        <v>84748.286939623998</v>
      </c>
      <c r="AF131" s="128">
        <f t="shared" si="117"/>
        <v>197063.51645472361</v>
      </c>
      <c r="AG131" s="128">
        <f t="shared" si="118"/>
        <v>-7.9244401267385438</v>
      </c>
      <c r="AH131" s="134">
        <f t="shared" si="119"/>
        <v>-3.3593819806153959</v>
      </c>
    </row>
    <row r="132" spans="1:34">
      <c r="A132" s="125">
        <v>140</v>
      </c>
      <c r="B132" s="126"/>
      <c r="C132" s="128">
        <f>EDisponible!P44</f>
        <v>322258.55059830536</v>
      </c>
      <c r="D132" s="128">
        <f t="shared" si="96"/>
        <v>109933.60450277223</v>
      </c>
      <c r="E132" s="128">
        <f t="shared" si="97"/>
        <v>15.535499781487283</v>
      </c>
      <c r="F132" s="134">
        <f t="shared" si="98"/>
        <v>6.3320837780692996</v>
      </c>
      <c r="G132" s="128">
        <f>EDisponible!V44</f>
        <v>291595.62480559025</v>
      </c>
      <c r="H132" s="128">
        <f t="shared" si="99"/>
        <v>110577.84854195104</v>
      </c>
      <c r="I132" s="128">
        <f t="shared" si="100"/>
        <v>13.244800836185135</v>
      </c>
      <c r="J132" s="134">
        <f t="shared" si="101"/>
        <v>5.4044231597402295</v>
      </c>
      <c r="K132" s="128">
        <f>EDisponible!AB44</f>
        <v>242189.03249833838</v>
      </c>
      <c r="L132" s="128">
        <f t="shared" si="102"/>
        <v>113746.22151676595</v>
      </c>
      <c r="M132" s="128">
        <f t="shared" si="103"/>
        <v>9.3979690028510063</v>
      </c>
      <c r="N132" s="134">
        <f t="shared" si="104"/>
        <v>3.8404094866153256</v>
      </c>
      <c r="O132" s="128">
        <f>EDisponible!AH44</f>
        <v>199507.27437404735</v>
      </c>
      <c r="P132" s="128">
        <f t="shared" si="105"/>
        <v>119797.42440863737</v>
      </c>
      <c r="Q132" s="128">
        <f t="shared" si="106"/>
        <v>5.8322508941687792</v>
      </c>
      <c r="R132" s="134">
        <f t="shared" si="107"/>
        <v>2.3855018037458833</v>
      </c>
      <c r="S132" s="128">
        <f>EDisponible!AN44</f>
        <v>163148.52189079809</v>
      </c>
      <c r="T132" s="128">
        <f t="shared" si="108"/>
        <v>129220.67167985508</v>
      </c>
      <c r="U132" s="128">
        <f t="shared" si="109"/>
        <v>2.48245022184667</v>
      </c>
      <c r="V132" s="134">
        <f t="shared" si="110"/>
        <v>1.0158501177707768</v>
      </c>
      <c r="W132" s="128">
        <f>EDisponible!AT44</f>
        <v>132366.61784009167</v>
      </c>
      <c r="X132" s="128">
        <f t="shared" si="111"/>
        <v>142681.38593158888</v>
      </c>
      <c r="Y132" s="128">
        <f t="shared" si="112"/>
        <v>-0.75471620447013599</v>
      </c>
      <c r="Z132" s="134">
        <f t="shared" si="113"/>
        <v>-0.30886881690790835</v>
      </c>
      <c r="AA132" s="128">
        <f>EDisponible!AZ44</f>
        <v>106479.25698566524</v>
      </c>
      <c r="AB132" s="128">
        <f t="shared" si="114"/>
        <v>161086.07320404073</v>
      </c>
      <c r="AC132" s="128">
        <f t="shared" si="115"/>
        <v>-3.9954993373533512</v>
      </c>
      <c r="AD132" s="134">
        <f t="shared" si="116"/>
        <v>-1.6347366210634375</v>
      </c>
      <c r="AE132" s="128">
        <f>EDisponible!BF44</f>
        <v>84864.759392703956</v>
      </c>
      <c r="AF132" s="128">
        <f t="shared" si="117"/>
        <v>185675.7130730424</v>
      </c>
      <c r="AG132" s="128">
        <f t="shared" si="118"/>
        <v>-7.3761871964293455</v>
      </c>
      <c r="AH132" s="134">
        <f t="shared" si="119"/>
        <v>-3.0159570526044917</v>
      </c>
    </row>
    <row r="133" spans="1:34">
      <c r="A133" s="125">
        <v>145</v>
      </c>
      <c r="B133" s="126"/>
      <c r="C133" s="128">
        <f>EDisponible!P45</f>
        <v>320300.00825106644</v>
      </c>
      <c r="D133" s="128">
        <f t="shared" si="96"/>
        <v>110460.33317836613</v>
      </c>
      <c r="E133" s="128">
        <f t="shared" si="97"/>
        <v>15.902001070163422</v>
      </c>
      <c r="F133" s="134">
        <f t="shared" si="98"/>
        <v>6.2585581105992709</v>
      </c>
      <c r="G133" s="128">
        <f>EDisponible!V45</f>
        <v>290027.42136903282</v>
      </c>
      <c r="H133" s="128">
        <f t="shared" si="99"/>
        <v>109974.86748234129</v>
      </c>
      <c r="I133" s="128">
        <f t="shared" si="100"/>
        <v>13.64468327355088</v>
      </c>
      <c r="J133" s="134">
        <f t="shared" si="101"/>
        <v>5.375774985920442</v>
      </c>
      <c r="K133" s="128">
        <f>EDisponible!AB45</f>
        <v>242325.14755887157</v>
      </c>
      <c r="L133" s="128">
        <f t="shared" si="102"/>
        <v>111959.35850834151</v>
      </c>
      <c r="M133" s="128">
        <f t="shared" si="103"/>
        <v>9.8793372429498714</v>
      </c>
      <c r="N133" s="134">
        <f t="shared" si="104"/>
        <v>3.8977301482105235</v>
      </c>
      <c r="O133" s="128">
        <f>EDisponible!AH45</f>
        <v>199660.84998639708</v>
      </c>
      <c r="P133" s="128">
        <f t="shared" si="105"/>
        <v>116739.17401258282</v>
      </c>
      <c r="Q133" s="128">
        <f t="shared" si="106"/>
        <v>6.2839431085589235</v>
      </c>
      <c r="R133" s="134">
        <f t="shared" si="107"/>
        <v>2.4815052981513146</v>
      </c>
      <c r="S133" s="128">
        <f>EDisponible!AN45</f>
        <v>163310.88541590347</v>
      </c>
      <c r="T133" s="128">
        <f t="shared" si="108"/>
        <v>124761.75105599426</v>
      </c>
      <c r="U133" s="128">
        <f t="shared" si="109"/>
        <v>2.9213177900355074</v>
      </c>
      <c r="V133" s="134">
        <f t="shared" si="110"/>
        <v>1.154183027332482</v>
      </c>
      <c r="W133" s="128">
        <f>EDisponible!AT45</f>
        <v>132530.80954170923</v>
      </c>
      <c r="X133" s="128">
        <f t="shared" si="111"/>
        <v>136639.18986103003</v>
      </c>
      <c r="Y133" s="128">
        <f t="shared" si="112"/>
        <v>-0.31133992278554184</v>
      </c>
      <c r="Z133" s="134">
        <f t="shared" si="113"/>
        <v>-0.12302369762606982</v>
      </c>
      <c r="AA133" s="128">
        <f>EDisponible!AZ45</f>
        <v>106639.83134660976</v>
      </c>
      <c r="AB133" s="128">
        <f t="shared" si="114"/>
        <v>153208.72820728584</v>
      </c>
      <c r="AC133" s="128">
        <f t="shared" si="115"/>
        <v>-3.5290687876743831</v>
      </c>
      <c r="AD133" s="134">
        <f t="shared" si="116"/>
        <v>-1.3942126638189232</v>
      </c>
      <c r="AE133" s="128">
        <f>EDisponible!BF45</f>
        <v>85017.598036398427</v>
      </c>
      <c r="AF133" s="128">
        <f t="shared" si="117"/>
        <v>175619.79787687652</v>
      </c>
      <c r="AG133" s="128">
        <f t="shared" si="118"/>
        <v>-6.8659860358785032</v>
      </c>
      <c r="AH133" s="134">
        <f t="shared" si="119"/>
        <v>-2.7110234401867661</v>
      </c>
    </row>
    <row r="134" spans="1:34" ht="15" customHeight="1">
      <c r="A134" s="125">
        <v>150</v>
      </c>
      <c r="B134" s="126"/>
      <c r="C134" s="128">
        <f>EDisponible!P46</f>
        <v>318378.52239014959</v>
      </c>
      <c r="D134" s="128">
        <f t="shared" si="96"/>
        <v>111486.09192160146</v>
      </c>
      <c r="E134" s="128">
        <f t="shared" si="97"/>
        <v>16.219297191007215</v>
      </c>
      <c r="F134" s="134">
        <f t="shared" si="98"/>
        <v>6.1713383428291619</v>
      </c>
      <c r="G134" s="128">
        <f>EDisponible!V46</f>
        <v>288499.48121639621</v>
      </c>
      <c r="H134" s="128">
        <f t="shared" si="99"/>
        <v>109907.00709208852</v>
      </c>
      <c r="I134" s="128">
        <f t="shared" si="100"/>
        <v>14.000726886621214</v>
      </c>
      <c r="J134" s="134">
        <f t="shared" si="101"/>
        <v>5.3324341340183805</v>
      </c>
      <c r="K134" s="128">
        <f>EDisponible!AB46</f>
        <v>242549.19647972318</v>
      </c>
      <c r="L134" s="128">
        <f t="shared" si="102"/>
        <v>110757.10489119815</v>
      </c>
      <c r="M134" s="128">
        <f t="shared" si="103"/>
        <v>10.331818791329269</v>
      </c>
      <c r="N134" s="134">
        <f t="shared" si="104"/>
        <v>3.940240727853578</v>
      </c>
      <c r="O134" s="128">
        <f>EDisponible!AH46</f>
        <v>199888.86449374186</v>
      </c>
      <c r="P134" s="128">
        <f t="shared" si="105"/>
        <v>114331.07438155881</v>
      </c>
      <c r="Q134" s="128">
        <f t="shared" si="106"/>
        <v>6.7072885252139374</v>
      </c>
      <c r="R134" s="134">
        <f t="shared" si="107"/>
        <v>2.5602900111520706</v>
      </c>
      <c r="S134" s="128">
        <f>EDisponible!AN46</f>
        <v>163535.88374363829</v>
      </c>
      <c r="T134" s="128">
        <f t="shared" si="108"/>
        <v>121038.08774229878</v>
      </c>
      <c r="U134" s="128">
        <f t="shared" si="109"/>
        <v>3.3316075496213413</v>
      </c>
      <c r="V134" s="134">
        <f t="shared" si="110"/>
        <v>1.2723711444386294</v>
      </c>
      <c r="W134" s="128">
        <f>EDisponible!AT46</f>
        <v>132747.36177613662</v>
      </c>
      <c r="X134" s="128">
        <f t="shared" si="111"/>
        <v>131441.59794562042</v>
      </c>
      <c r="Y134" s="128">
        <f t="shared" si="112"/>
        <v>0.10236513525626417</v>
      </c>
      <c r="Z134" s="134">
        <f t="shared" si="113"/>
        <v>3.9100595393201883E-2</v>
      </c>
      <c r="AA134" s="128">
        <f>EDisponible!AZ46</f>
        <v>106843.87091657701</v>
      </c>
      <c r="AB134" s="128">
        <f t="shared" si="114"/>
        <v>146315.84469224856</v>
      </c>
      <c r="AC134" s="128">
        <f t="shared" si="115"/>
        <v>-3.0943987265913266</v>
      </c>
      <c r="AD134" s="134">
        <f t="shared" si="116"/>
        <v>-1.1818056201542826</v>
      </c>
      <c r="AE134" s="128">
        <f>EDisponible!BF46</f>
        <v>85206.244513121346</v>
      </c>
      <c r="AF134" s="128">
        <f t="shared" si="117"/>
        <v>166727.19967661554</v>
      </c>
      <c r="AG134" s="128">
        <f t="shared" si="118"/>
        <v>-6.3908215302854661</v>
      </c>
      <c r="AH134" s="134">
        <f t="shared" si="119"/>
        <v>-2.4396385569369583</v>
      </c>
    </row>
    <row r="135" spans="1:34">
      <c r="A135" s="125">
        <v>155</v>
      </c>
      <c r="B135" s="126"/>
      <c r="C135" s="128">
        <f>EDisponible!P47</f>
        <v>316489.71720728913</v>
      </c>
      <c r="D135" s="128">
        <f t="shared" si="96"/>
        <v>112965.92793281535</v>
      </c>
      <c r="E135" s="128">
        <f t="shared" si="97"/>
        <v>16.487053570529667</v>
      </c>
      <c r="F135" s="134">
        <f t="shared" si="98"/>
        <v>6.0716127525120731</v>
      </c>
      <c r="G135" s="128">
        <f>EDisponible!V47</f>
        <v>287008.0270815554</v>
      </c>
      <c r="H135" s="128">
        <f t="shared" si="99"/>
        <v>110322.23046696059</v>
      </c>
      <c r="I135" s="128">
        <f t="shared" si="100"/>
        <v>14.312961665665535</v>
      </c>
      <c r="J135" s="134">
        <f t="shared" si="101"/>
        <v>5.2758273139389038</v>
      </c>
      <c r="K135" s="128">
        <f>EDisponible!AB47</f>
        <v>242859.68709754501</v>
      </c>
      <c r="L135" s="128">
        <f t="shared" si="102"/>
        <v>110078.90852404524</v>
      </c>
      <c r="M135" s="128">
        <f t="shared" si="103"/>
        <v>10.756304298784476</v>
      </c>
      <c r="N135" s="134">
        <f t="shared" si="104"/>
        <v>3.9697057419152082</v>
      </c>
      <c r="O135" s="128">
        <f>EDisponible!AH47</f>
        <v>200190.09800967755</v>
      </c>
      <c r="P135" s="128">
        <f t="shared" si="105"/>
        <v>112502.2692783339</v>
      </c>
      <c r="Q135" s="128">
        <f t="shared" si="106"/>
        <v>7.1034149616160684</v>
      </c>
      <c r="R135" s="134">
        <f t="shared" si="107"/>
        <v>2.6239427422974182</v>
      </c>
      <c r="S135" s="128">
        <f>EDisponible!AN47</f>
        <v>163822.52923902863</v>
      </c>
      <c r="T135" s="128">
        <f t="shared" si="108"/>
        <v>117966.26684391535</v>
      </c>
      <c r="U135" s="128">
        <f t="shared" si="109"/>
        <v>3.7147237546412986</v>
      </c>
      <c r="V135" s="134">
        <f t="shared" si="110"/>
        <v>1.3728855366407147</v>
      </c>
      <c r="W135" s="128">
        <f>EDisponible!AT47</f>
        <v>133015.48357244002</v>
      </c>
      <c r="X135" s="128">
        <f t="shared" si="111"/>
        <v>126989.76971861316</v>
      </c>
      <c r="Y135" s="128">
        <f t="shared" si="112"/>
        <v>0.48813098194996307</v>
      </c>
      <c r="Z135" s="134">
        <f t="shared" si="113"/>
        <v>0.18043711391809442</v>
      </c>
      <c r="AA135" s="128">
        <f>EDisponible!AZ47</f>
        <v>107090.7499119729</v>
      </c>
      <c r="AB135" s="128">
        <f t="shared" si="114"/>
        <v>140289.47580574112</v>
      </c>
      <c r="AC135" s="128">
        <f t="shared" si="115"/>
        <v>-2.6893621342010663</v>
      </c>
      <c r="AD135" s="134">
        <f t="shared" si="116"/>
        <v>-0.9940234835245978</v>
      </c>
      <c r="AE135" s="128">
        <f>EDisponible!BF47</f>
        <v>85430.210544902046</v>
      </c>
      <c r="AF135" s="128">
        <f t="shared" si="117"/>
        <v>158856.08995241919</v>
      </c>
      <c r="AG135" s="128">
        <f t="shared" si="118"/>
        <v>-5.9480830794791926</v>
      </c>
      <c r="AH135" s="134">
        <f t="shared" si="119"/>
        <v>-2.1976317074818987</v>
      </c>
    </row>
    <row r="136" spans="1:34">
      <c r="A136" s="125">
        <v>160</v>
      </c>
      <c r="B136" s="126"/>
      <c r="C136" s="128">
        <f>EDisponible!P48</f>
        <v>314629.30978701601</v>
      </c>
      <c r="D136" s="128">
        <f t="shared" si="96"/>
        <v>114861.80067739735</v>
      </c>
      <c r="E136" s="128">
        <f t="shared" si="97"/>
        <v>16.704789528321026</v>
      </c>
      <c r="F136" s="134">
        <f t="shared" si="98"/>
        <v>5.9603679255243271</v>
      </c>
      <c r="G136" s="128">
        <f>EDisponible!V48</f>
        <v>285549.36494093604</v>
      </c>
      <c r="H136" s="128">
        <f t="shared" si="99"/>
        <v>111176.50227053111</v>
      </c>
      <c r="I136" s="128">
        <f t="shared" si="100"/>
        <v>14.581259902287524</v>
      </c>
      <c r="J136" s="134">
        <f t="shared" si="101"/>
        <v>5.2071454027608448</v>
      </c>
      <c r="K136" s="128">
        <f>EDisponible!AB48</f>
        <v>243255.28898137427</v>
      </c>
      <c r="L136" s="128">
        <f t="shared" si="102"/>
        <v>109873.5281973524</v>
      </c>
      <c r="M136" s="128">
        <f t="shared" si="103"/>
        <v>11.15353668244075</v>
      </c>
      <c r="N136" s="134">
        <f t="shared" si="104"/>
        <v>3.987615287106669</v>
      </c>
      <c r="O136" s="128">
        <f>EDisponible!AH48</f>
        <v>200563.46674410003</v>
      </c>
      <c r="P136" s="128">
        <f t="shared" si="105"/>
        <v>111192.79782917006</v>
      </c>
      <c r="Q136" s="128">
        <f t="shared" si="106"/>
        <v>7.4732784169119162</v>
      </c>
      <c r="R136" s="134">
        <f t="shared" si="107"/>
        <v>2.6742271023471038</v>
      </c>
      <c r="S136" s="128">
        <f>EDisponible!AN48</f>
        <v>164169.948090199</v>
      </c>
      <c r="T136" s="128">
        <f t="shared" si="108"/>
        <v>115475.69993879925</v>
      </c>
      <c r="U136" s="128">
        <f t="shared" si="109"/>
        <v>4.0718691955187527</v>
      </c>
      <c r="V136" s="134">
        <f t="shared" si="110"/>
        <v>1.4578160785552245</v>
      </c>
      <c r="W136" s="128">
        <f>EDisponible!AT48</f>
        <v>133334.4785291923</v>
      </c>
      <c r="X136" s="128">
        <f t="shared" si="111"/>
        <v>123200.06313269644</v>
      </c>
      <c r="Y136" s="128">
        <f t="shared" si="112"/>
        <v>0.84745150472964581</v>
      </c>
      <c r="Z136" s="134">
        <f t="shared" si="113"/>
        <v>0.30346837823912381</v>
      </c>
      <c r="AA136" s="128">
        <f>EDisponible!AZ48</f>
        <v>107379.92056580658</v>
      </c>
      <c r="AB136" s="128">
        <f t="shared" si="114"/>
        <v>135029.81104909547</v>
      </c>
      <c r="AC136" s="128">
        <f t="shared" si="115"/>
        <v>-2.3121157342509409</v>
      </c>
      <c r="AD136" s="134">
        <f t="shared" si="116"/>
        <v>-0.82790783260438094</v>
      </c>
      <c r="AE136" s="128">
        <f>EDisponible!BF48</f>
        <v>85689.071722674431</v>
      </c>
      <c r="AF136" s="128">
        <f t="shared" si="117"/>
        <v>151886.44875540372</v>
      </c>
      <c r="AG136" s="128">
        <f t="shared" si="118"/>
        <v>-5.5355010210987849</v>
      </c>
      <c r="AH136" s="134">
        <f t="shared" si="119"/>
        <v>-1.981464972005615</v>
      </c>
    </row>
    <row r="137" spans="1:34">
      <c r="A137" s="125">
        <v>165</v>
      </c>
      <c r="B137" s="126"/>
      <c r="C137" s="128">
        <f>EDisponible!P49</f>
        <v>312793.08839496173</v>
      </c>
      <c r="D137" s="128">
        <f t="shared" si="96"/>
        <v>117141.34457619464</v>
      </c>
      <c r="E137" s="128">
        <f t="shared" si="97"/>
        <v>16.871894002712601</v>
      </c>
      <c r="F137" s="134">
        <f t="shared" si="98"/>
        <v>5.8384249253120997</v>
      </c>
      <c r="G137" s="128">
        <f>EDisponible!V49</f>
        <v>284119.86536267243</v>
      </c>
      <c r="H137" s="128">
        <f t="shared" si="99"/>
        <v>112432.35643716187</v>
      </c>
      <c r="I137" s="128">
        <f t="shared" si="100"/>
        <v>14.805354634938523</v>
      </c>
      <c r="J137" s="134">
        <f t="shared" si="101"/>
        <v>5.1273857761698665</v>
      </c>
      <c r="K137" s="128">
        <f>EDisponible!AB49</f>
        <v>243734.81910126211</v>
      </c>
      <c r="L137" s="128">
        <f t="shared" si="102"/>
        <v>110097.36695750349</v>
      </c>
      <c r="M137" s="128">
        <f t="shared" si="103"/>
        <v>11.524134072889355</v>
      </c>
      <c r="N137" s="134">
        <f t="shared" si="104"/>
        <v>3.9952347703007813</v>
      </c>
      <c r="O137" s="128">
        <f>EDisponible!AH49</f>
        <v>201008.01104473195</v>
      </c>
      <c r="P137" s="128">
        <f t="shared" si="105"/>
        <v>110351.64423145246</v>
      </c>
      <c r="Q137" s="128">
        <f t="shared" si="106"/>
        <v>7.8176896443177455</v>
      </c>
      <c r="R137" s="134">
        <f t="shared" si="107"/>
        <v>2.712641818732962</v>
      </c>
      <c r="S137" s="128">
        <f>EDisponible!AN49</f>
        <v>164577.3703972279</v>
      </c>
      <c r="T137" s="128">
        <f t="shared" si="108"/>
        <v>113506.32911282397</v>
      </c>
      <c r="U137" s="128">
        <f t="shared" si="109"/>
        <v>4.4040762343359736</v>
      </c>
      <c r="V137" s="134">
        <f t="shared" si="110"/>
        <v>1.5289398961969198</v>
      </c>
      <c r="W137" s="128">
        <f>EDisponible!AT49</f>
        <v>133703.73665983928</v>
      </c>
      <c r="X137" s="128">
        <f t="shared" si="111"/>
        <v>120001.31401180141</v>
      </c>
      <c r="Y137" s="128">
        <f t="shared" si="112"/>
        <v>1.1816190236066166</v>
      </c>
      <c r="Z137" s="134">
        <f t="shared" si="113"/>
        <v>0.4103068225906164</v>
      </c>
      <c r="AA137" s="128">
        <f>EDisponible!AZ49</f>
        <v>107710.90647092408</v>
      </c>
      <c r="AB137" s="128">
        <f t="shared" si="114"/>
        <v>130451.92983357636</v>
      </c>
      <c r="AC137" s="128">
        <f t="shared" si="115"/>
        <v>-1.9610565599828651</v>
      </c>
      <c r="AD137" s="134">
        <f t="shared" si="116"/>
        <v>-0.68093923718163563</v>
      </c>
      <c r="AE137" s="128">
        <f>EDisponible!BF49</f>
        <v>85982.462118444513</v>
      </c>
      <c r="AF137" s="128">
        <f t="shared" si="117"/>
        <v>145716.16092879491</v>
      </c>
      <c r="AG137" s="128">
        <f t="shared" si="118"/>
        <v>-5.1510945675584656</v>
      </c>
      <c r="AH137" s="134">
        <f t="shared" si="119"/>
        <v>-1.7881221438327215</v>
      </c>
    </row>
    <row r="138" spans="1:34">
      <c r="A138" s="125">
        <v>170</v>
      </c>
      <c r="B138" s="126"/>
      <c r="C138" s="128">
        <f>EDisponible!P50</f>
        <v>310976.89318043471</v>
      </c>
      <c r="D138" s="128">
        <f t="shared" si="96"/>
        <v>119776.88258735796</v>
      </c>
      <c r="E138" s="128">
        <f t="shared" si="97"/>
        <v>16.987638259187918</v>
      </c>
      <c r="F138" s="134">
        <f t="shared" si="98"/>
        <v>5.7064680316516982</v>
      </c>
      <c r="G138" s="128">
        <f>EDisponible!V50</f>
        <v>282715.94689293788</v>
      </c>
      <c r="H138" s="128">
        <f t="shared" si="99"/>
        <v>114057.75430436819</v>
      </c>
      <c r="I138" s="128">
        <f t="shared" si="100"/>
        <v>14.984854636021732</v>
      </c>
      <c r="J138" s="134">
        <f t="shared" si="101"/>
        <v>5.0373859610409966</v>
      </c>
      <c r="K138" s="128">
        <f>EDisponible!AB50</f>
        <v>244297.22935235463</v>
      </c>
      <c r="L138" s="128">
        <f t="shared" si="102"/>
        <v>110713.14338574084</v>
      </c>
      <c r="M138" s="128">
        <f t="shared" si="103"/>
        <v>11.868608806799227</v>
      </c>
      <c r="N138" s="134">
        <f t="shared" si="104"/>
        <v>3.993644494805646</v>
      </c>
      <c r="O138" s="128">
        <f>EDisponible!AH50</f>
        <v>201522.88498386682</v>
      </c>
      <c r="P138" s="128">
        <f t="shared" si="105"/>
        <v>109935.182925531</v>
      </c>
      <c r="Q138" s="128">
        <f t="shared" si="106"/>
        <v>8.1373361158884077</v>
      </c>
      <c r="R138" s="134">
        <f t="shared" si="107"/>
        <v>2.7404671906373155</v>
      </c>
      <c r="S138" s="128">
        <f>EDisponible!AN50</f>
        <v>165044.12153894731</v>
      </c>
      <c r="T138" s="128">
        <f t="shared" si="108"/>
        <v>112006.79655172605</v>
      </c>
      <c r="U138" s="128">
        <f t="shared" si="109"/>
        <v>4.7122324330589089</v>
      </c>
      <c r="V138" s="134">
        <f t="shared" si="110"/>
        <v>1.5877759630513564</v>
      </c>
      <c r="W138" s="128">
        <f>EDisponible!AT50</f>
        <v>134122.7272870618</v>
      </c>
      <c r="X138" s="128">
        <f t="shared" si="111"/>
        <v>117332.66715324727</v>
      </c>
      <c r="Y138" s="128">
        <f t="shared" si="112"/>
        <v>1.4917544565951055</v>
      </c>
      <c r="Z138" s="134">
        <f t="shared" si="113"/>
        <v>0.5027590631851887</v>
      </c>
      <c r="AA138" s="128">
        <f>EDisponible!AZ50</f>
        <v>108083.29677733926</v>
      </c>
      <c r="AB138" s="128">
        <f t="shared" si="114"/>
        <v>126483.21332306802</v>
      </c>
      <c r="AC138" s="128">
        <f t="shared" si="115"/>
        <v>-1.6347861347315464</v>
      </c>
      <c r="AD138" s="134">
        <f t="shared" si="116"/>
        <v>-0.55096152249197949</v>
      </c>
      <c r="AE138" s="128">
        <f>EDisponible!BF50</f>
        <v>86310.0695867498</v>
      </c>
      <c r="AF138" s="128">
        <f t="shared" si="117"/>
        <v>140257.90390517822</v>
      </c>
      <c r="AG138" s="128">
        <f t="shared" si="118"/>
        <v>-4.7931288885673817</v>
      </c>
      <c r="AH138" s="134">
        <f t="shared" si="119"/>
        <v>-1.6150195249762631</v>
      </c>
    </row>
    <row r="139" spans="1:34">
      <c r="A139" s="125">
        <v>175</v>
      </c>
      <c r="B139" s="126"/>
      <c r="C139" s="128">
        <f>EDisponible!P51</f>
        <v>309176.59888214694</v>
      </c>
      <c r="D139" s="128">
        <f t="shared" si="96"/>
        <v>122744.63417876062</v>
      </c>
      <c r="E139" s="128">
        <f t="shared" si="97"/>
        <v>17.051186166371028</v>
      </c>
      <c r="F139" s="134">
        <f t="shared" si="98"/>
        <v>5.565067736998949</v>
      </c>
      <c r="G139" s="128">
        <f>EDisponible!V51</f>
        <v>281334.0611324808</v>
      </c>
      <c r="H139" s="128">
        <f t="shared" si="99"/>
        <v>116025.16776973727</v>
      </c>
      <c r="I139" s="128">
        <f t="shared" si="100"/>
        <v>15.119256615513839</v>
      </c>
      <c r="J139" s="134">
        <f t="shared" si="101"/>
        <v>4.937850577485082</v>
      </c>
      <c r="K139" s="128">
        <f>EDisponible!AB51</f>
        <v>244941.59564145177</v>
      </c>
      <c r="L139" s="128">
        <f t="shared" si="102"/>
        <v>111688.82472432521</v>
      </c>
      <c r="M139" s="128">
        <f t="shared" si="103"/>
        <v>12.187383251083903</v>
      </c>
      <c r="N139" s="134">
        <f t="shared" si="104"/>
        <v>3.9837713956425755</v>
      </c>
      <c r="O139" s="128">
        <f>EDisponible!AH51</f>
        <v>202107.34724648451</v>
      </c>
      <c r="P139" s="128">
        <f t="shared" si="105"/>
        <v>109905.93017205046</v>
      </c>
      <c r="Q139" s="128">
        <f t="shared" si="106"/>
        <v>8.4328002970986198</v>
      </c>
      <c r="R139" s="134">
        <f t="shared" si="107"/>
        <v>2.7588023614373323</v>
      </c>
      <c r="S139" s="128">
        <f>EDisponible!AN51</f>
        <v>165569.61461612998</v>
      </c>
      <c r="T139" s="128">
        <f t="shared" si="108"/>
        <v>110932.97484627237</v>
      </c>
      <c r="U139" s="128">
        <f t="shared" si="109"/>
        <v>4.9971018526946391</v>
      </c>
      <c r="V139" s="134">
        <f t="shared" si="110"/>
        <v>1.6356289487843632</v>
      </c>
      <c r="W139" s="128">
        <f>EDisponible!AT51</f>
        <v>134590.9928207855</v>
      </c>
      <c r="X139" s="128">
        <f t="shared" si="111"/>
        <v>115141.83484831471</v>
      </c>
      <c r="Y139" s="128">
        <f t="shared" si="112"/>
        <v>1.7788323686626628</v>
      </c>
      <c r="Z139" s="134">
        <f t="shared" si="113"/>
        <v>0.58237758408819928</v>
      </c>
      <c r="AA139" s="128">
        <f>EDisponible!AZ51</f>
        <v>108496.7411091096</v>
      </c>
      <c r="AB139" s="128">
        <f t="shared" si="114"/>
        <v>123061.26631743817</v>
      </c>
      <c r="AC139" s="128">
        <f t="shared" si="115"/>
        <v>-1.3320807467063263</v>
      </c>
      <c r="AD139" s="134">
        <f t="shared" si="116"/>
        <v>-0.43612074709790849</v>
      </c>
      <c r="AE139" s="128">
        <f>EDisponible!BF51</f>
        <v>86671.631646880065</v>
      </c>
      <c r="AF139" s="128">
        <f t="shared" si="117"/>
        <v>135436.64881654474</v>
      </c>
      <c r="AG139" s="128">
        <f t="shared" si="118"/>
        <v>-4.4600795120576695</v>
      </c>
      <c r="AH139" s="134">
        <f t="shared" si="119"/>
        <v>-1.4599338563051343</v>
      </c>
    </row>
    <row r="140" spans="1:34">
      <c r="A140" s="125">
        <v>180</v>
      </c>
      <c r="B140" s="126"/>
      <c r="C140" s="128">
        <f>EDisponible!P52</f>
        <v>307388.09920137736</v>
      </c>
      <c r="D140" s="128">
        <f t="shared" si="96"/>
        <v>126024.07511186079</v>
      </c>
      <c r="E140" s="128">
        <f t="shared" si="97"/>
        <v>17.061602494415339</v>
      </c>
      <c r="F140" s="134">
        <f t="shared" si="98"/>
        <v>5.4146992695357552</v>
      </c>
      <c r="G140" s="128">
        <f>EDisponible!V52</f>
        <v>279970.6792199199</v>
      </c>
      <c r="H140" s="128">
        <f t="shared" si="99"/>
        <v>118310.83818323062</v>
      </c>
      <c r="I140" s="128">
        <f t="shared" si="100"/>
        <v>15.207955165998086</v>
      </c>
      <c r="J140" s="134">
        <f t="shared" si="101"/>
        <v>4.8293730508057227</v>
      </c>
      <c r="K140" s="128">
        <f>EDisponible!AB52</f>
        <v>245667.10829658582</v>
      </c>
      <c r="L140" s="128">
        <f t="shared" si="102"/>
        <v>112996.76449514202</v>
      </c>
      <c r="M140" s="128">
        <f t="shared" si="103"/>
        <v>12.48080307051643</v>
      </c>
      <c r="N140" s="134">
        <f t="shared" si="104"/>
        <v>3.9664146505051252</v>
      </c>
      <c r="O140" s="128">
        <f>EDisponible!AH52</f>
        <v>202760.75312040147</v>
      </c>
      <c r="P140" s="128">
        <f t="shared" si="105"/>
        <v>110231.53491999688</v>
      </c>
      <c r="Q140" s="128">
        <f t="shared" si="106"/>
        <v>8.7045749452224346</v>
      </c>
      <c r="R140" s="134">
        <f t="shared" si="107"/>
        <v>2.7685954208229768</v>
      </c>
      <c r="S140" s="128">
        <f>EDisponible!AN52</f>
        <v>166153.343806283</v>
      </c>
      <c r="T140" s="128">
        <f t="shared" si="108"/>
        <v>110246.77900036138</v>
      </c>
      <c r="U140" s="128">
        <f t="shared" si="109"/>
        <v>5.259342862154992</v>
      </c>
      <c r="V140" s="134">
        <f t="shared" si="110"/>
        <v>1.6736246645404895</v>
      </c>
      <c r="W140" s="128">
        <f>EDisponible!AT52</f>
        <v>135108.14328463087</v>
      </c>
      <c r="X140" s="128">
        <f t="shared" si="111"/>
        <v>113383.6891999136</v>
      </c>
      <c r="Y140" s="128">
        <f t="shared" si="112"/>
        <v>2.0437018965717177</v>
      </c>
      <c r="Z140" s="134">
        <f t="shared" si="113"/>
        <v>0.65050256673307194</v>
      </c>
      <c r="AA140" s="128">
        <f>EDisponible!AZ52</f>
        <v>108950.94509071042</v>
      </c>
      <c r="AB140" s="128">
        <f t="shared" si="114"/>
        <v>120132.23745774514</v>
      </c>
      <c r="AC140" s="128">
        <f t="shared" si="115"/>
        <v>-1.051866635061137</v>
      </c>
      <c r="AD140" s="134">
        <f t="shared" si="116"/>
        <v>-0.33481573772840584</v>
      </c>
      <c r="AE140" s="128">
        <f>EDisponible!BF52</f>
        <v>87066.93185707365</v>
      </c>
      <c r="AF140" s="128">
        <f t="shared" si="117"/>
        <v>131187.64057767042</v>
      </c>
      <c r="AG140" s="128">
        <f t="shared" si="118"/>
        <v>-4.1506026222221379</v>
      </c>
      <c r="AH140" s="134">
        <f t="shared" si="119"/>
        <v>-1.3209437604579719</v>
      </c>
    </row>
    <row r="141" spans="1:34">
      <c r="A141" s="125">
        <v>185</v>
      </c>
      <c r="B141" s="126"/>
      <c r="C141" s="128">
        <f>EDisponible!P53</f>
        <v>305607.29256665095</v>
      </c>
      <c r="D141" s="128">
        <f t="shared" si="96"/>
        <v>129597.41666995866</v>
      </c>
      <c r="E141" s="128">
        <f t="shared" si="97"/>
        <v>17.017859592133156</v>
      </c>
      <c r="F141" s="134">
        <f t="shared" si="98"/>
        <v>5.2557576053185189</v>
      </c>
      <c r="G141" s="128">
        <f>EDisponible!V53</f>
        <v>278622.27948873327</v>
      </c>
      <c r="H141" s="128">
        <f t="shared" si="99"/>
        <v>120894.17350710511</v>
      </c>
      <c r="I141" s="128">
        <f t="shared" si="100"/>
        <v>15.250250860377372</v>
      </c>
      <c r="J141" s="134">
        <f t="shared" si="101"/>
        <v>4.7124532165723529</v>
      </c>
      <c r="K141" s="128">
        <f>EDisponible!AB53</f>
        <v>246473.06360264076</v>
      </c>
      <c r="L141" s="128">
        <f t="shared" si="102"/>
        <v>114613.00101182102</v>
      </c>
      <c r="M141" s="128">
        <f t="shared" si="103"/>
        <v>12.749148418794098</v>
      </c>
      <c r="N141" s="134">
        <f t="shared" si="104"/>
        <v>3.9422664779757373</v>
      </c>
      <c r="O141" s="128">
        <f>EDisponible!AH53</f>
        <v>203482.54742446353</v>
      </c>
      <c r="P141" s="128">
        <f t="shared" si="105"/>
        <v>110883.95794734241</v>
      </c>
      <c r="Q141" s="128">
        <f t="shared" si="106"/>
        <v>8.9530759914639546</v>
      </c>
      <c r="R141" s="134">
        <f t="shared" si="107"/>
        <v>2.7706678671373037</v>
      </c>
      <c r="S141" s="128">
        <f>EDisponible!AN53</f>
        <v>166794.87849445411</v>
      </c>
      <c r="T141" s="128">
        <f t="shared" si="108"/>
        <v>109915.20008141897</v>
      </c>
      <c r="U141" s="128">
        <f t="shared" si="109"/>
        <v>5.4995231145260428</v>
      </c>
      <c r="V141" s="134">
        <f t="shared" si="110"/>
        <v>1.7027388908492154</v>
      </c>
      <c r="W141" s="128">
        <f>EDisponible!AT53</f>
        <v>135673.85147952675</v>
      </c>
      <c r="X141" s="128">
        <f t="shared" si="111"/>
        <v>112019.11706993854</v>
      </c>
      <c r="Y141" s="128">
        <f t="shared" si="112"/>
        <v>2.2871043276449359</v>
      </c>
      <c r="Z141" s="134">
        <f t="shared" si="113"/>
        <v>0.70829594540366292</v>
      </c>
      <c r="AA141" s="128">
        <f>EDisponible!AZ53</f>
        <v>109445.66639231968</v>
      </c>
      <c r="AB141" s="128">
        <f t="shared" si="114"/>
        <v>117649.45282884401</v>
      </c>
      <c r="AC141" s="128">
        <f t="shared" si="115"/>
        <v>-0.79319915992987267</v>
      </c>
      <c r="AD141" s="134">
        <f t="shared" si="116"/>
        <v>-0.24565776050566673</v>
      </c>
      <c r="AE141" s="128">
        <f>EDisponible!BF53</f>
        <v>87495.796607585813</v>
      </c>
      <c r="AF141" s="128">
        <f t="shared" si="117"/>
        <v>127454.75482303598</v>
      </c>
      <c r="AG141" s="128">
        <f t="shared" si="118"/>
        <v>-3.8635101405194843</v>
      </c>
      <c r="AH141" s="134">
        <f t="shared" si="119"/>
        <v>-1.1963819039938215</v>
      </c>
    </row>
    <row r="142" spans="1:34">
      <c r="A142" s="125">
        <v>190</v>
      </c>
      <c r="B142" s="126"/>
      <c r="C142" s="128">
        <f>EDisponible!P54</f>
        <v>303830.06906174886</v>
      </c>
      <c r="D142" s="128">
        <f t="shared" si="96"/>
        <v>133449.17952528791</v>
      </c>
      <c r="E142" s="128">
        <f t="shared" si="97"/>
        <v>16.918842723964076</v>
      </c>
      <c r="F142" s="134">
        <f t="shared" si="98"/>
        <v>5.0885697053960719</v>
      </c>
      <c r="G142" s="128">
        <f>EDisponible!V54</f>
        <v>277285.33610509167</v>
      </c>
      <c r="H142" s="128">
        <f t="shared" si="99"/>
        <v>123757.25502878675</v>
      </c>
      <c r="I142" s="128">
        <f t="shared" si="100"/>
        <v>15.245356826747569</v>
      </c>
      <c r="J142" s="134">
        <f t="shared" si="101"/>
        <v>4.5875116779754226</v>
      </c>
      <c r="K142" s="128">
        <f>EDisponible!AB54</f>
        <v>247358.85630000907</v>
      </c>
      <c r="L142" s="128">
        <f t="shared" si="102"/>
        <v>116516.68337188181</v>
      </c>
      <c r="M142" s="128">
        <f t="shared" si="103"/>
        <v>12.992643432343222</v>
      </c>
      <c r="N142" s="134">
        <f t="shared" si="104"/>
        <v>3.911929127293813</v>
      </c>
      <c r="O142" s="128">
        <f>EDisponible!AH54</f>
        <v>204272.25823904554</v>
      </c>
      <c r="P142" s="128">
        <f t="shared" si="105"/>
        <v>111838.80017486126</v>
      </c>
      <c r="Q142" s="128">
        <f t="shared" si="106"/>
        <v>9.1786534491909695</v>
      </c>
      <c r="R142" s="134">
        <f t="shared" si="107"/>
        <v>2.7657346032480636</v>
      </c>
      <c r="S142" s="128">
        <f>EDisponible!AN54</f>
        <v>167493.8580678023</v>
      </c>
      <c r="T142" s="128">
        <f t="shared" si="108"/>
        <v>109909.514483625</v>
      </c>
      <c r="U142" s="128">
        <f t="shared" si="109"/>
        <v>5.7181322102143222</v>
      </c>
      <c r="V142" s="134">
        <f t="shared" si="110"/>
        <v>1.7238209594340435</v>
      </c>
      <c r="W142" s="128">
        <f>EDisponible!AT54</f>
        <v>136287.84869234831</v>
      </c>
      <c r="X142" s="128">
        <f t="shared" si="111"/>
        <v>111014.08311481077</v>
      </c>
      <c r="Y142" s="128">
        <f t="shared" si="112"/>
        <v>2.5096879468820315</v>
      </c>
      <c r="Z142" s="134">
        <f t="shared" si="113"/>
        <v>0.75676929102613522</v>
      </c>
      <c r="AA142" s="128">
        <f>EDisponible!AZ54</f>
        <v>109980.71121898841</v>
      </c>
      <c r="AB142" s="128">
        <f t="shared" si="114"/>
        <v>115572.29787472951</v>
      </c>
      <c r="AC142" s="128">
        <f t="shared" si="115"/>
        <v>-0.55524522417553923</v>
      </c>
      <c r="AD142" s="134">
        <f t="shared" si="116"/>
        <v>-0.16743745988400938</v>
      </c>
      <c r="AE142" s="128">
        <f>EDisponible!BF54</f>
        <v>87958.092272066919</v>
      </c>
      <c r="AF142" s="128">
        <f t="shared" si="117"/>
        <v>124189.15343439997</v>
      </c>
      <c r="AG142" s="128">
        <f t="shared" si="118"/>
        <v>-3.5977487099376755</v>
      </c>
      <c r="AH142" s="134">
        <f t="shared" si="119"/>
        <v>-1.0847957115433915</v>
      </c>
    </row>
    <row r="143" spans="1:34">
      <c r="A143" s="125">
        <v>195</v>
      </c>
      <c r="B143" s="126"/>
      <c r="C143" s="128">
        <f>EDisponible!P55</f>
        <v>302052.29832722351</v>
      </c>
      <c r="D143" s="128">
        <f t="shared" si="96"/>
        <v>137565.84308786158</v>
      </c>
      <c r="E143" s="128">
        <f t="shared" si="97"/>
        <v>16.763354289931407</v>
      </c>
      <c r="F143" s="134">
        <f t="shared" si="98"/>
        <v>4.9134045449499091</v>
      </c>
      <c r="G143" s="128">
        <f>EDisponible!V55</f>
        <v>275956.30852601147</v>
      </c>
      <c r="H143" s="128">
        <f t="shared" si="99"/>
        <v>126884.43145065688</v>
      </c>
      <c r="I143" s="128">
        <f t="shared" si="100"/>
        <v>15.192404058089704</v>
      </c>
      <c r="J143" s="134">
        <f t="shared" si="101"/>
        <v>4.4549015777526657</v>
      </c>
      <c r="K143" s="128">
        <f>EDisponible!AB55</f>
        <v>248323.97291061073</v>
      </c>
      <c r="L143" s="128">
        <f t="shared" si="102"/>
        <v>118689.59912401183</v>
      </c>
      <c r="M143" s="128">
        <f t="shared" si="103"/>
        <v>13.211464328633213</v>
      </c>
      <c r="N143" s="134">
        <f t="shared" si="104"/>
        <v>3.8759288345308649</v>
      </c>
      <c r="O143" s="128">
        <f>EDisponible!AH55</f>
        <v>205129.49132586599</v>
      </c>
      <c r="P143" s="128">
        <f t="shared" si="105"/>
        <v>113074.74995703177</v>
      </c>
      <c r="Q143" s="128">
        <f t="shared" si="106"/>
        <v>9.3816007001195025</v>
      </c>
      <c r="R143" s="134">
        <f t="shared" si="107"/>
        <v>2.7544203721237692</v>
      </c>
      <c r="S143" s="128">
        <f>EDisponible!AN55</f>
        <v>168249.98728047282</v>
      </c>
      <c r="T143" s="128">
        <f t="shared" si="108"/>
        <v>110204.63325588907</v>
      </c>
      <c r="U143" s="128">
        <f t="shared" si="109"/>
        <v>5.9155924600759713</v>
      </c>
      <c r="V143" s="134">
        <f t="shared" si="110"/>
        <v>1.7376131494530815</v>
      </c>
      <c r="W143" s="128">
        <f>EDisponible!AT55</f>
        <v>136949.92087284787</v>
      </c>
      <c r="X143" s="128">
        <f t="shared" si="111"/>
        <v>110338.85878736468</v>
      </c>
      <c r="Y143" s="128">
        <f t="shared" si="112"/>
        <v>2.7120206409771628</v>
      </c>
      <c r="Z143" s="134">
        <f t="shared" si="113"/>
        <v>0.79680676486456636</v>
      </c>
      <c r="AA143" s="128">
        <f>EDisponible!AZ55</f>
        <v>110555.93118119787</v>
      </c>
      <c r="AB143" s="128">
        <f t="shared" si="114"/>
        <v>113865.29736239815</v>
      </c>
      <c r="AC143" s="128">
        <f t="shared" si="115"/>
        <v>-0.33726836467992743</v>
      </c>
      <c r="AD143" s="134">
        <f t="shared" si="116"/>
        <v>-9.9097613284525501E-2</v>
      </c>
      <c r="AE143" s="128">
        <f>EDisponible!BF55</f>
        <v>88453.722666785528</v>
      </c>
      <c r="AF143" s="128">
        <f t="shared" si="117"/>
        <v>121348.17821739864</v>
      </c>
      <c r="AG143" s="128">
        <f t="shared" si="118"/>
        <v>-3.3523818831580736</v>
      </c>
      <c r="AH143" s="134">
        <f t="shared" si="119"/>
        <v>-0.98491494083012165</v>
      </c>
    </row>
    <row r="144" spans="1:34">
      <c r="A144" s="125">
        <v>200</v>
      </c>
      <c r="B144" s="126"/>
      <c r="C144" s="128">
        <f>EDisponible!P56</f>
        <v>300269.81827660487</v>
      </c>
      <c r="D144" s="128">
        <f t="shared" si="96"/>
        <v>141935.55543367981</v>
      </c>
      <c r="E144" s="128">
        <f t="shared" si="97"/>
        <v>16.550117106766109</v>
      </c>
      <c r="F144" s="134">
        <f t="shared" si="98"/>
        <v>4.7304813746530785</v>
      </c>
      <c r="G144" s="128">
        <f>EDisponible!V56</f>
        <v>274631.63164343429</v>
      </c>
      <c r="H144" s="128">
        <f t="shared" si="99"/>
        <v>130261.9831058924</v>
      </c>
      <c r="I144" s="128">
        <f t="shared" si="100"/>
        <v>15.090445662599974</v>
      </c>
      <c r="J144" s="134">
        <f t="shared" si="101"/>
        <v>4.314918298953037</v>
      </c>
      <c r="K144" s="128">
        <f>EDisponible!AB56</f>
        <v>247853.48950802637</v>
      </c>
      <c r="L144" s="128">
        <f t="shared" si="102"/>
        <v>121115.78353671529</v>
      </c>
      <c r="M144" s="128">
        <f t="shared" si="103"/>
        <v>13.247441444489686</v>
      </c>
      <c r="N144" s="134">
        <f t="shared" si="104"/>
        <v>3.789576800918296</v>
      </c>
      <c r="O144" s="128">
        <f>EDisponible!AH56</f>
        <v>206053.92514254642</v>
      </c>
      <c r="P144" s="128">
        <f t="shared" si="105"/>
        <v>114573.12586033094</v>
      </c>
      <c r="Q144" s="128">
        <f t="shared" si="106"/>
        <v>9.5621624401233181</v>
      </c>
      <c r="R144" s="134">
        <f t="shared" si="107"/>
        <v>2.7372733369312545</v>
      </c>
      <c r="S144" s="128">
        <f>EDisponible!AN56</f>
        <v>169063.03211053752</v>
      </c>
      <c r="T144" s="128">
        <f t="shared" si="108"/>
        <v>110778.56384153695</v>
      </c>
      <c r="U144" s="128">
        <f t="shared" si="109"/>
        <v>6.0922680791743442</v>
      </c>
      <c r="V144" s="134">
        <f t="shared" si="110"/>
        <v>1.7447667240334923</v>
      </c>
      <c r="W144" s="128">
        <f>EDisponible!AT56</f>
        <v>137659.90521462404</v>
      </c>
      <c r="X144" s="128">
        <f t="shared" si="111"/>
        <v>109967.38453827798</v>
      </c>
      <c r="Y144" s="128">
        <f t="shared" si="112"/>
        <v>2.8946006502063191</v>
      </c>
      <c r="Z144" s="134">
        <f t="shared" si="113"/>
        <v>0.82918411059995678</v>
      </c>
      <c r="AA144" s="128">
        <f>EDisponible!AZ56</f>
        <v>111171.22049445371</v>
      </c>
      <c r="AB144" s="128">
        <f t="shared" si="114"/>
        <v>112497.35429343201</v>
      </c>
      <c r="AC144" s="128">
        <f t="shared" si="115"/>
        <v>-0.13861604733085914</v>
      </c>
      <c r="AD144" s="134">
        <f t="shared" si="116"/>
        <v>-3.9710566065761579E-2</v>
      </c>
      <c r="AE144" s="128">
        <f>EDisponible!BF56</f>
        <v>88982.626775411714</v>
      </c>
      <c r="AF144" s="128">
        <f t="shared" si="117"/>
        <v>118894.4357093165</v>
      </c>
      <c r="AG144" s="128">
        <f t="shared" si="118"/>
        <v>-3.12657495505217</v>
      </c>
      <c r="AH144" s="134">
        <f t="shared" si="119"/>
        <v>-0.89562479141537599</v>
      </c>
    </row>
    <row r="145" spans="1:34">
      <c r="A145" s="125">
        <v>205</v>
      </c>
      <c r="B145" s="126"/>
      <c r="C145" s="128">
        <f>EDisponible!P57</f>
        <v>298478.42449369858</v>
      </c>
      <c r="D145" s="128">
        <f t="shared" si="96"/>
        <v>146547.89213999169</v>
      </c>
      <c r="E145" s="128">
        <f t="shared" si="97"/>
        <v>16.277776893227944</v>
      </c>
      <c r="F145" s="134">
        <f t="shared" si="98"/>
        <v>4.5399765583621896</v>
      </c>
      <c r="G145" s="128">
        <f>EDisponible!V57</f>
        <v>273307.7065010877</v>
      </c>
      <c r="H145" s="128">
        <f t="shared" si="99"/>
        <v>133877.84278861436</v>
      </c>
      <c r="I145" s="128">
        <f t="shared" si="100"/>
        <v>14.938460219970686</v>
      </c>
      <c r="J145" s="134">
        <f t="shared" si="101"/>
        <v>4.1678074966369181</v>
      </c>
      <c r="K145" s="128">
        <f>EDisponible!AB57</f>
        <v>246913.9909916769</v>
      </c>
      <c r="L145" s="128">
        <f t="shared" si="102"/>
        <v>123781.19474554727</v>
      </c>
      <c r="M145" s="128">
        <f t="shared" si="103"/>
        <v>13.192398884429306</v>
      </c>
      <c r="N145" s="134">
        <f t="shared" si="104"/>
        <v>3.68208745767335</v>
      </c>
      <c r="O145" s="128">
        <f>EDisponible!AH57</f>
        <v>207045.30637235235</v>
      </c>
      <c r="P145" s="128">
        <f t="shared" si="105"/>
        <v>116317.49653060551</v>
      </c>
      <c r="Q145" s="128">
        <f t="shared" si="106"/>
        <v>9.7205415115438623</v>
      </c>
      <c r="R145" s="134">
        <f t="shared" si="107"/>
        <v>2.7147763575436321</v>
      </c>
      <c r="S145" s="128">
        <f>EDisponible!AN57</f>
        <v>169932.81604315824</v>
      </c>
      <c r="T145" s="128">
        <f t="shared" si="108"/>
        <v>111611.96257044809</v>
      </c>
      <c r="U145" s="128">
        <f t="shared" si="109"/>
        <v>6.2484730774278203</v>
      </c>
      <c r="V145" s="134">
        <f t="shared" si="110"/>
        <v>1.745855254454485</v>
      </c>
      <c r="W145" s="128">
        <f>EDisponible!AT57</f>
        <v>138417.68708604251</v>
      </c>
      <c r="X145" s="128">
        <f t="shared" si="111"/>
        <v>109876.73955242919</v>
      </c>
      <c r="Y145" s="128">
        <f t="shared" si="112"/>
        <v>3.0578657829743778</v>
      </c>
      <c r="Z145" s="134">
        <f t="shared" si="113"/>
        <v>0.85458444505023279</v>
      </c>
      <c r="AA145" s="128">
        <f>EDisponible!AZ57</f>
        <v>111826.51346383827</v>
      </c>
      <c r="AB145" s="128">
        <f t="shared" si="114"/>
        <v>111441.11713758188</v>
      </c>
      <c r="AC145" s="128">
        <f t="shared" si="115"/>
        <v>4.1291209324971302E-2</v>
      </c>
      <c r="AD145" s="134">
        <f t="shared" si="116"/>
        <v>1.1540546308869455E-2</v>
      </c>
      <c r="AE145" s="128">
        <f>EDisponible!BF57</f>
        <v>89544.776703741794</v>
      </c>
      <c r="AF145" s="128">
        <f t="shared" si="117"/>
        <v>116795.03629126362</v>
      </c>
      <c r="AG145" s="128">
        <f t="shared" si="118"/>
        <v>-2.9195819890603012</v>
      </c>
      <c r="AH145" s="134">
        <f t="shared" si="119"/>
        <v>-0.81594349986347847</v>
      </c>
    </row>
    <row r="146" spans="1:34">
      <c r="A146" s="125">
        <v>210</v>
      </c>
      <c r="B146" s="126"/>
      <c r="C146" s="128">
        <f>EDisponible!P58</f>
        <v>296673.86019798467</v>
      </c>
      <c r="D146" s="128">
        <f t="shared" si="96"/>
        <v>151393.6548258065</v>
      </c>
      <c r="E146" s="128">
        <f t="shared" si="97"/>
        <v>15.944904074990724</v>
      </c>
      <c r="F146" s="134">
        <f t="shared" si="98"/>
        <v>4.3420292579394726</v>
      </c>
      <c r="G146" s="128">
        <f>EDisponible!V58</f>
        <v>271980.89148835442</v>
      </c>
      <c r="H146" s="128">
        <f t="shared" si="99"/>
        <v>137721.36254643049</v>
      </c>
      <c r="I146" s="128">
        <f t="shared" si="100"/>
        <v>14.735354377069061</v>
      </c>
      <c r="J146" s="134">
        <f t="shared" si="101"/>
        <v>4.0137717769790884</v>
      </c>
      <c r="K146" s="128">
        <f>EDisponible!AB58</f>
        <v>245979.33705203244</v>
      </c>
      <c r="L146" s="128">
        <f t="shared" si="102"/>
        <v>126673.44238395481</v>
      </c>
      <c r="M146" s="128">
        <f t="shared" si="103"/>
        <v>13.094151685634584</v>
      </c>
      <c r="N146" s="134">
        <f t="shared" si="104"/>
        <v>3.5679504847120089</v>
      </c>
      <c r="O146" s="128">
        <f>EDisponible!AH58</f>
        <v>208103.44590185027</v>
      </c>
      <c r="P146" s="128">
        <f t="shared" si="105"/>
        <v>118293.36314530119</v>
      </c>
      <c r="Q146" s="128">
        <f t="shared" si="106"/>
        <v>9.8569048057966935</v>
      </c>
      <c r="R146" s="134">
        <f t="shared" si="107"/>
        <v>2.6873563983605329</v>
      </c>
      <c r="S146" s="128">
        <f>EDisponible!AN58</f>
        <v>170859.21672429668</v>
      </c>
      <c r="T146" s="128">
        <f t="shared" si="108"/>
        <v>112687.76082867789</v>
      </c>
      <c r="U146" s="128">
        <f t="shared" si="109"/>
        <v>6.3844780628030646</v>
      </c>
      <c r="V146" s="134">
        <f t="shared" si="110"/>
        <v>1.7413857425899084</v>
      </c>
      <c r="W146" s="128">
        <f>EDisponible!AT58</f>
        <v>139223.19726535445</v>
      </c>
      <c r="X146" s="128">
        <f t="shared" si="111"/>
        <v>110046.69878761249</v>
      </c>
      <c r="Y146" s="128">
        <f t="shared" si="112"/>
        <v>3.2022013479394458</v>
      </c>
      <c r="Z146" s="134">
        <f t="shared" si="113"/>
        <v>0.87361144796972501</v>
      </c>
      <c r="AA146" s="128">
        <f>EDisponible!AZ58</f>
        <v>112521.78221621676</v>
      </c>
      <c r="AB146" s="128">
        <f t="shared" si="114"/>
        <v>110672.4512447163</v>
      </c>
      <c r="AC146" s="128">
        <f t="shared" si="115"/>
        <v>0.20296918542993184</v>
      </c>
      <c r="AD146" s="134">
        <f t="shared" si="116"/>
        <v>5.5377495595906184E-2</v>
      </c>
      <c r="AE146" s="128">
        <f>EDisponible!BF58</f>
        <v>90140.175834210604</v>
      </c>
      <c r="AF146" s="128">
        <f t="shared" si="117"/>
        <v>115020.95857256705</v>
      </c>
      <c r="AG146" s="128">
        <f t="shared" si="118"/>
        <v>-2.730734672748147</v>
      </c>
      <c r="AH146" s="134">
        <f t="shared" si="119"/>
        <v>-0.74500359037817732</v>
      </c>
    </row>
    <row r="147" spans="1:34">
      <c r="A147" s="125">
        <v>215</v>
      </c>
      <c r="B147" s="126"/>
      <c r="C147" s="128">
        <f>EDisponible!P59</f>
        <v>294851.80668205884</v>
      </c>
      <c r="D147" s="128">
        <f t="shared" si="96"/>
        <v>156464.70209873319</v>
      </c>
      <c r="E147" s="128">
        <f t="shared" si="97"/>
        <v>15.549995002546403</v>
      </c>
      <c r="F147" s="134">
        <f t="shared" si="98"/>
        <v>4.1367461796595322</v>
      </c>
      <c r="G147" s="128">
        <f>EDisponible!V59</f>
        <v>270647.49392964615</v>
      </c>
      <c r="H147" s="128">
        <f t="shared" si="99"/>
        <v>141783.11798621426</v>
      </c>
      <c r="I147" s="128">
        <f t="shared" si="100"/>
        <v>14.479964791228607</v>
      </c>
      <c r="J147" s="134">
        <f t="shared" si="101"/>
        <v>3.852976274405413</v>
      </c>
      <c r="K147" s="128">
        <f>EDisponible!AB59</f>
        <v>245046.39460820096</v>
      </c>
      <c r="L147" s="128">
        <f t="shared" si="102"/>
        <v>129781.55986596213</v>
      </c>
      <c r="M147" s="128">
        <f t="shared" si="103"/>
        <v>12.95183976576322</v>
      </c>
      <c r="N147" s="134">
        <f t="shared" si="104"/>
        <v>3.4473954913222618</v>
      </c>
      <c r="O147" s="128">
        <f>EDisponible!AH59</f>
        <v>209228.21518934079</v>
      </c>
      <c r="P147" s="128">
        <f t="shared" si="105"/>
        <v>120487.89294572515</v>
      </c>
      <c r="Q147" s="128">
        <f t="shared" si="106"/>
        <v>9.9713883859872787</v>
      </c>
      <c r="R147" s="134">
        <f t="shared" si="107"/>
        <v>2.6553924122340464</v>
      </c>
      <c r="S147" s="128">
        <f>EDisponible!AN59</f>
        <v>171842.16293765546</v>
      </c>
      <c r="T147" s="128">
        <f t="shared" si="108"/>
        <v>113990.85136160957</v>
      </c>
      <c r="U147" s="128">
        <f t="shared" si="109"/>
        <v>6.5005161326762826</v>
      </c>
      <c r="V147" s="134">
        <f t="shared" si="110"/>
        <v>1.7318079467668679</v>
      </c>
      <c r="W147" s="128">
        <f>EDisponible!AT59</f>
        <v>140076.4094411238</v>
      </c>
      <c r="X147" s="128">
        <f t="shared" si="111"/>
        <v>110459.36126702727</v>
      </c>
      <c r="Y147" s="128">
        <f t="shared" si="112"/>
        <v>3.3279470112771508</v>
      </c>
      <c r="Z147" s="134">
        <f t="shared" si="113"/>
        <v>0.88680042790485369</v>
      </c>
      <c r="AA147" s="128">
        <f>EDisponible!AZ59</f>
        <v>113257.03464838001</v>
      </c>
      <c r="AB147" s="128">
        <f t="shared" si="114"/>
        <v>110169.995284278</v>
      </c>
      <c r="AC147" s="128">
        <f t="shared" si="115"/>
        <v>0.34687803339036094</v>
      </c>
      <c r="AD147" s="134">
        <f t="shared" si="116"/>
        <v>9.2440139881042133E-2</v>
      </c>
      <c r="AE147" s="128">
        <f>EDisponible!BF59</f>
        <v>90768.857154537283</v>
      </c>
      <c r="AF147" s="128">
        <f t="shared" si="117"/>
        <v>113546.51601888641</v>
      </c>
      <c r="AG147" s="128">
        <f t="shared" si="118"/>
        <v>-2.5594327056468567</v>
      </c>
      <c r="AH147" s="134">
        <f t="shared" si="119"/>
        <v>-0.68203611815869525</v>
      </c>
    </row>
    <row r="148" spans="1:34">
      <c r="A148" s="125">
        <v>220</v>
      </c>
      <c r="B148" s="126"/>
      <c r="C148" s="128">
        <f>EDisponible!P60</f>
        <v>293007.87413903838</v>
      </c>
      <c r="D148" s="128">
        <f t="shared" si="96"/>
        <v>161753.80708472204</v>
      </c>
      <c r="E148" s="128">
        <f t="shared" si="97"/>
        <v>15.091472658116873</v>
      </c>
      <c r="F148" s="134">
        <f t="shared" si="98"/>
        <v>3.9242055530686799</v>
      </c>
      <c r="G148" s="128">
        <f>EDisponible!V60</f>
        <v>269303.76199956052</v>
      </c>
      <c r="H148" s="128">
        <f t="shared" si="99"/>
        <v>146054.74335198058</v>
      </c>
      <c r="I148" s="128">
        <f t="shared" si="100"/>
        <v>14.171059509264341</v>
      </c>
      <c r="J148" s="134">
        <f t="shared" si="101"/>
        <v>3.6855533264399729</v>
      </c>
      <c r="K148" s="128">
        <f>EDisponible!AB60</f>
        <v>244111.981760155</v>
      </c>
      <c r="L148" s="128">
        <f t="shared" si="102"/>
        <v>133095.8124764495</v>
      </c>
      <c r="M148" s="128">
        <f t="shared" si="103"/>
        <v>12.764537670749604</v>
      </c>
      <c r="N148" s="134">
        <f t="shared" si="104"/>
        <v>3.320614156688968</v>
      </c>
      <c r="O148" s="128">
        <f>EDisponible!AH60</f>
        <v>210419.54297531708</v>
      </c>
      <c r="P148" s="128">
        <f t="shared" si="105"/>
        <v>122889.69467024396</v>
      </c>
      <c r="Q148" s="128">
        <f t="shared" si="106"/>
        <v>10.064101952120714</v>
      </c>
      <c r="R148" s="134">
        <f t="shared" si="107"/>
        <v>2.6192219754339026</v>
      </c>
      <c r="S148" s="128">
        <f>EDisponible!AN60</f>
        <v>172881.6318644727</v>
      </c>
      <c r="T148" s="128">
        <f t="shared" si="108"/>
        <v>115507.82390462105</v>
      </c>
      <c r="U148" s="128">
        <f t="shared" si="109"/>
        <v>6.5967879971280112</v>
      </c>
      <c r="V148" s="134">
        <f t="shared" si="110"/>
        <v>1.7175222343511654</v>
      </c>
      <c r="W148" s="128">
        <f>EDisponible!AT60</f>
        <v>140977.33794475385</v>
      </c>
      <c r="X148" s="128">
        <f t="shared" si="111"/>
        <v>111098.83682121674</v>
      </c>
      <c r="Y148" s="128">
        <f t="shared" si="112"/>
        <v>3.4354027489660637</v>
      </c>
      <c r="Z148" s="134">
        <f t="shared" si="113"/>
        <v>0.89462764511540871</v>
      </c>
      <c r="AA148" s="128">
        <f>EDisponible!AZ60</f>
        <v>114032.31256402485</v>
      </c>
      <c r="AB148" s="128">
        <f t="shared" si="114"/>
        <v>109914.78743277778</v>
      </c>
      <c r="AC148" s="128">
        <f t="shared" si="115"/>
        <v>0.47342927599804735</v>
      </c>
      <c r="AD148" s="134">
        <f t="shared" si="116"/>
        <v>0.1232975342771182</v>
      </c>
      <c r="AE148" s="128">
        <f>EDisponible!BF60</f>
        <v>91430.881738578595</v>
      </c>
      <c r="AF148" s="128">
        <f t="shared" si="117"/>
        <v>112348.90745082368</v>
      </c>
      <c r="AG148" s="128">
        <f t="shared" si="118"/>
        <v>-2.4051354764305644</v>
      </c>
      <c r="AH148" s="134">
        <f t="shared" si="119"/>
        <v>-0.62635737418720971</v>
      </c>
    </row>
    <row r="149" spans="1:34">
      <c r="A149" s="125">
        <v>225</v>
      </c>
      <c r="B149" s="126"/>
      <c r="C149" s="128">
        <f>EDisponible!P61</f>
        <v>291137.59280943929</v>
      </c>
      <c r="D149" s="128">
        <f t="shared" si="96"/>
        <v>167254.53686865003</v>
      </c>
      <c r="E149" s="128">
        <f t="shared" si="97"/>
        <v>14.567686913557381</v>
      </c>
      <c r="F149" s="134">
        <f t="shared" si="98"/>
        <v>3.7044604792322677</v>
      </c>
      <c r="G149" s="128">
        <f>EDisponible!V61</f>
        <v>267945.87690387352</v>
      </c>
      <c r="H149" s="128">
        <f t="shared" si="99"/>
        <v>150528.79196653244</v>
      </c>
      <c r="I149" s="128">
        <f t="shared" si="100"/>
        <v>13.807338854211844</v>
      </c>
      <c r="J149" s="134">
        <f t="shared" si="101"/>
        <v>3.5116064062527608</v>
      </c>
      <c r="K149" s="128">
        <f>EDisponible!AB61</f>
        <v>243172.86091096228</v>
      </c>
      <c r="L149" s="128">
        <f t="shared" si="102"/>
        <v>136607.53497569074</v>
      </c>
      <c r="M149" s="128">
        <f t="shared" si="103"/>
        <v>12.531256129233824</v>
      </c>
      <c r="N149" s="134">
        <f t="shared" si="104"/>
        <v>3.1877648765378068</v>
      </c>
      <c r="O149" s="128">
        <f>EDisponible!AH61</f>
        <v>211677.41229316397</v>
      </c>
      <c r="P149" s="128">
        <f t="shared" si="105"/>
        <v>125488.62852415159</v>
      </c>
      <c r="Q149" s="128">
        <f t="shared" si="106"/>
        <v>10.135132749771502</v>
      </c>
      <c r="R149" s="134">
        <f t="shared" si="107"/>
        <v>2.5791468940855653</v>
      </c>
      <c r="S149" s="128">
        <f>EDisponible!AN61</f>
        <v>173977.64659154764</v>
      </c>
      <c r="T149" s="128">
        <f t="shared" si="108"/>
        <v>117226.74147174909</v>
      </c>
      <c r="U149" s="128">
        <f t="shared" si="109"/>
        <v>6.6734664524369398</v>
      </c>
      <c r="V149" s="134">
        <f t="shared" si="110"/>
        <v>1.6988862204583406</v>
      </c>
      <c r="W149" s="128">
        <f>EDisponible!AT61</f>
        <v>141926.03568663393</v>
      </c>
      <c r="X149" s="128">
        <f t="shared" si="111"/>
        <v>111950.98100671866</v>
      </c>
      <c r="Y149" s="128">
        <f t="shared" si="112"/>
        <v>3.5248340338203841</v>
      </c>
      <c r="Z149" s="134">
        <f t="shared" si="113"/>
        <v>0.89751819753161144</v>
      </c>
      <c r="AA149" s="128">
        <f>EDisponible!AZ61</f>
        <v>114847.68997632276</v>
      </c>
      <c r="AB149" s="128">
        <f t="shared" si="114"/>
        <v>109889.94905081445</v>
      </c>
      <c r="AC149" s="128">
        <f t="shared" si="115"/>
        <v>0.58299189548451691</v>
      </c>
      <c r="AD149" s="134">
        <f t="shared" si="116"/>
        <v>0.14845733488760249</v>
      </c>
      <c r="AE149" s="128">
        <f>EDisponible!BF61</f>
        <v>92126.337360565711</v>
      </c>
      <c r="AF149" s="128">
        <f t="shared" si="117"/>
        <v>111407.83667243573</v>
      </c>
      <c r="AG149" s="128">
        <f t="shared" si="118"/>
        <v>-2.2673548296511696</v>
      </c>
      <c r="AH149" s="134">
        <f t="shared" si="119"/>
        <v>-0.57735762345451735</v>
      </c>
    </row>
    <row r="150" spans="1:34">
      <c r="A150" s="125">
        <v>230</v>
      </c>
      <c r="B150" s="126"/>
      <c r="C150" s="128">
        <f>EDisponible!P62</f>
        <v>289236.40438668698</v>
      </c>
      <c r="D150" s="128">
        <f t="shared" si="96"/>
        <v>172961.15007757678</v>
      </c>
      <c r="E150" s="128">
        <f t="shared" si="97"/>
        <v>13.97691438994114</v>
      </c>
      <c r="F150" s="134">
        <f t="shared" si="98"/>
        <v>3.4775417587312258</v>
      </c>
      <c r="G150" s="128">
        <f>EDisponible!V62</f>
        <v>266569.94527454727</v>
      </c>
      <c r="H150" s="128">
        <f t="shared" si="99"/>
        <v>155198.61767487845</v>
      </c>
      <c r="I150" s="128">
        <f t="shared" si="100"/>
        <v>13.387435878802441</v>
      </c>
      <c r="J150" s="134">
        <f t="shared" si="101"/>
        <v>3.3312134418009345</v>
      </c>
      <c r="K150" s="128">
        <f>EDisponible!AB62</f>
        <v>242225.73206459556</v>
      </c>
      <c r="L150" s="128">
        <f t="shared" si="102"/>
        <v>140308.99364235831</v>
      </c>
      <c r="M150" s="128">
        <f t="shared" si="103"/>
        <v>12.250943128816932</v>
      </c>
      <c r="N150" s="134">
        <f t="shared" si="104"/>
        <v>3.048976687172575</v>
      </c>
      <c r="O150" s="128">
        <f>EDisponible!AH62</f>
        <v>213001.85774414925</v>
      </c>
      <c r="P150" s="128">
        <f t="shared" si="105"/>
        <v>128275.64474667345</v>
      </c>
      <c r="Q150" s="128">
        <f t="shared" si="106"/>
        <v>10.184549005599157</v>
      </c>
      <c r="R150" s="134">
        <f t="shared" si="107"/>
        <v>2.5354379597454981</v>
      </c>
      <c r="S150" s="128">
        <f>EDisponible!AN62</f>
        <v>175130.27383769734</v>
      </c>
      <c r="T150" s="128">
        <f t="shared" si="108"/>
        <v>119136.95031008555</v>
      </c>
      <c r="U150" s="128">
        <f t="shared" si="109"/>
        <v>6.7307003025181862</v>
      </c>
      <c r="V150" s="134">
        <f t="shared" si="110"/>
        <v>1.6762204019899891</v>
      </c>
      <c r="W150" s="128">
        <f>EDisponible!AT62</f>
        <v>142922.59227137646</v>
      </c>
      <c r="X150" s="128">
        <f t="shared" si="111"/>
        <v>113003.16991611339</v>
      </c>
      <c r="Y150" s="128">
        <f t="shared" si="112"/>
        <v>3.596476372730999</v>
      </c>
      <c r="Z150" s="134">
        <f t="shared" si="113"/>
        <v>0.89585271670727828</v>
      </c>
      <c r="AA150" s="128">
        <f>EDisponible!AZ62</f>
        <v>115703.27155604052</v>
      </c>
      <c r="AB150" s="128">
        <f t="shared" si="114"/>
        <v>110080.41596271096</v>
      </c>
      <c r="AC150" s="128">
        <f t="shared" si="115"/>
        <v>0.67589765098291732</v>
      </c>
      <c r="AD150" s="134">
        <f t="shared" si="116"/>
        <v>0.16837378829074948</v>
      </c>
      <c r="AE150" s="128">
        <f>EDisponible!BF62</f>
        <v>92855.337226490956</v>
      </c>
      <c r="AF150" s="128">
        <f t="shared" si="117"/>
        <v>110705.18934085424</v>
      </c>
      <c r="AG150" s="128">
        <f t="shared" si="118"/>
        <v>-2.1456487569773315</v>
      </c>
      <c r="AH150" s="134">
        <f t="shared" si="119"/>
        <v>-0.53449153020849927</v>
      </c>
    </row>
    <row r="151" spans="1:34">
      <c r="A151" s="125">
        <v>235</v>
      </c>
      <c r="B151" s="126"/>
      <c r="C151" s="128">
        <f>EDisponible!P63</f>
        <v>287299.65362848435</v>
      </c>
      <c r="D151" s="128">
        <f t="shared" si="96"/>
        <v>178868.5095521739</v>
      </c>
      <c r="E151" s="128">
        <f t="shared" si="97"/>
        <v>13.317357960355134</v>
      </c>
      <c r="F151" s="134">
        <f t="shared" si="98"/>
        <v>3.2434602888397253</v>
      </c>
      <c r="G151" s="128">
        <f>EDisponible!V63</f>
        <v>265171.99173374608</v>
      </c>
      <c r="H151" s="128">
        <f t="shared" si="99"/>
        <v>160058.27375356638</v>
      </c>
      <c r="I151" s="128">
        <f t="shared" si="100"/>
        <v>12.909916434163133</v>
      </c>
      <c r="J151" s="134">
        <f t="shared" si="101"/>
        <v>3.1444296259519309</v>
      </c>
      <c r="K151" s="128">
        <f>EDisponible!AB63</f>
        <v>241267.22626109983</v>
      </c>
      <c r="L151" s="128">
        <f t="shared" si="102"/>
        <v>144193.26864053946</v>
      </c>
      <c r="M151" s="128">
        <f t="shared" si="103"/>
        <v>11.922484570959949</v>
      </c>
      <c r="N151" s="134">
        <f t="shared" si="104"/>
        <v>2.9043525892689095</v>
      </c>
      <c r="O151" s="128">
        <f>EDisponible!AH63</f>
        <v>214392.96300564011</v>
      </c>
      <c r="P151" s="128">
        <f t="shared" si="105"/>
        <v>131242.64596049822</v>
      </c>
      <c r="Q151" s="128">
        <f t="shared" si="106"/>
        <v>10.212402958949326</v>
      </c>
      <c r="R151" s="134">
        <f t="shared" si="107"/>
        <v>2.4883389980224275</v>
      </c>
      <c r="S151" s="128">
        <f>EDisponible!AN63</f>
        <v>176339.62187288346</v>
      </c>
      <c r="T151" s="128">
        <f t="shared" si="108"/>
        <v>121228.91785194975</v>
      </c>
      <c r="U151" s="128">
        <f t="shared" si="109"/>
        <v>6.7686178094500322</v>
      </c>
      <c r="V151" s="134">
        <f t="shared" si="110"/>
        <v>1.6498129565453488</v>
      </c>
      <c r="W151" s="128">
        <f>EDisponible!AT63</f>
        <v>143967.1322709306</v>
      </c>
      <c r="X151" s="128">
        <f t="shared" si="111"/>
        <v>114244.10816336097</v>
      </c>
      <c r="Y151" s="128">
        <f t="shared" si="112"/>
        <v>3.6505392899497178</v>
      </c>
      <c r="Z151" s="134">
        <f t="shared" si="113"/>
        <v>0.88997307407134529</v>
      </c>
      <c r="AA151" s="128">
        <f>EDisponible!AZ63</f>
        <v>116599.19120787342</v>
      </c>
      <c r="AB151" s="128">
        <f t="shared" si="114"/>
        <v>110472.70932439865</v>
      </c>
      <c r="AC151" s="128">
        <f t="shared" si="115"/>
        <v>0.75244573849045426</v>
      </c>
      <c r="AD151" s="134">
        <f t="shared" si="116"/>
        <v>0.18345454382555426</v>
      </c>
      <c r="AE151" s="128">
        <f>EDisponible!BF63</f>
        <v>93618.018808588953</v>
      </c>
      <c r="AF151" s="128">
        <f t="shared" si="117"/>
        <v>110224.75743991126</v>
      </c>
      <c r="AG151" s="128">
        <f t="shared" si="118"/>
        <v>-2.0396158759676397</v>
      </c>
      <c r="AH151" s="134">
        <f t="shared" si="119"/>
        <v>-0.49726998855717935</v>
      </c>
    </row>
    <row r="152" spans="1:34">
      <c r="A152" s="125">
        <v>240</v>
      </c>
      <c r="B152" s="126"/>
      <c r="C152" s="128">
        <f>EDisponible!P64</f>
        <v>285322.58012803749</v>
      </c>
      <c r="D152" s="128">
        <f t="shared" si="96"/>
        <v>184972.00761842341</v>
      </c>
      <c r="E152" s="128">
        <f t="shared" si="97"/>
        <v>12.58714592997025</v>
      </c>
      <c r="F152" s="134">
        <f t="shared" si="98"/>
        <v>3.0022091027450153</v>
      </c>
      <c r="G152" s="128">
        <f>EDisponible!V64</f>
        <v>263747.9515875504</v>
      </c>
      <c r="H152" s="128">
        <f t="shared" si="99"/>
        <v>165102.42640596055</v>
      </c>
      <c r="I152" s="128">
        <f t="shared" si="100"/>
        <v>12.373278893653236</v>
      </c>
      <c r="J152" s="134">
        <f t="shared" si="101"/>
        <v>2.9512898025613836</v>
      </c>
      <c r="K152" s="128">
        <f>EDisponible!AB64</f>
        <v>240293.89911567181</v>
      </c>
      <c r="L152" s="128">
        <f t="shared" si="102"/>
        <v>148254.1533595169</v>
      </c>
      <c r="M152" s="128">
        <f t="shared" si="103"/>
        <v>11.544704551427349</v>
      </c>
      <c r="N152" s="134">
        <f t="shared" si="104"/>
        <v>2.753972370998615</v>
      </c>
      <c r="O152" s="128">
        <f>EDisponible!AH64</f>
        <v>215850.85854560675</v>
      </c>
      <c r="P152" s="128">
        <f t="shared" si="105"/>
        <v>134382.36938231214</v>
      </c>
      <c r="Q152" s="128">
        <f t="shared" si="106"/>
        <v>10.218733547278422</v>
      </c>
      <c r="R152" s="134">
        <f t="shared" si="107"/>
        <v>2.4380703273685764</v>
      </c>
      <c r="S152" s="128">
        <f>EDisponible!AN64</f>
        <v>177605.8386076529</v>
      </c>
      <c r="T152" s="128">
        <f t="shared" si="108"/>
        <v>123494.09404825445</v>
      </c>
      <c r="U152" s="128">
        <f t="shared" si="109"/>
        <v>6.7873297407363378</v>
      </c>
      <c r="V152" s="134">
        <f t="shared" si="110"/>
        <v>1.6199238442735928</v>
      </c>
      <c r="W152" s="128">
        <f>EDisponible!AT64</f>
        <v>145059.81363715307</v>
      </c>
      <c r="X152" s="128">
        <f t="shared" si="111"/>
        <v>115663.66457411913</v>
      </c>
      <c r="Y152" s="128">
        <f t="shared" si="112"/>
        <v>3.6872098362978183</v>
      </c>
      <c r="Z152" s="134">
        <f t="shared" si="113"/>
        <v>0.88018726069482101</v>
      </c>
      <c r="AA152" s="128">
        <f>EDisponible!AZ64</f>
        <v>117535.61075992779</v>
      </c>
      <c r="AB152" s="128">
        <f t="shared" si="114"/>
        <v>111054.73955180241</v>
      </c>
      <c r="AC152" s="128">
        <f t="shared" si="115"/>
        <v>0.81290688842060521</v>
      </c>
      <c r="AD152" s="134">
        <f t="shared" si="116"/>
        <v>0.19406648220627751</v>
      </c>
      <c r="AE152" s="128">
        <f>EDisponible!BF64</f>
        <v>94414.542770687869</v>
      </c>
      <c r="AF152" s="128">
        <f t="shared" si="117"/>
        <v>109976.75461418851</v>
      </c>
      <c r="AG152" s="128">
        <f t="shared" si="118"/>
        <v>-1.9519951562656732</v>
      </c>
      <c r="AH152" s="134">
        <f t="shared" si="119"/>
        <v>-0.46599424190330041</v>
      </c>
    </row>
    <row r="153" spans="1:34">
      <c r="A153" s="125">
        <v>245</v>
      </c>
      <c r="B153" s="126"/>
      <c r="C153" s="128">
        <f>EDisponible!P65</f>
        <v>283300.31020483177</v>
      </c>
      <c r="D153" s="128">
        <f t="shared" si="96"/>
        <v>191267.50192385723</v>
      </c>
      <c r="E153" s="128">
        <f t="shared" si="97"/>
        <v>11.784330921327552</v>
      </c>
      <c r="F153" s="134">
        <f t="shared" si="98"/>
        <v>2.7537651104842999</v>
      </c>
      <c r="G153" s="128">
        <f>EDisponible!V65</f>
        <v>262293.66361487116</v>
      </c>
      <c r="H153" s="128">
        <f t="shared" si="99"/>
        <v>170326.28048692446</v>
      </c>
      <c r="I153" s="128">
        <f t="shared" si="100"/>
        <v>11.775953564727667</v>
      </c>
      <c r="J153" s="134">
        <f t="shared" si="101"/>
        <v>2.7518104980182803</v>
      </c>
      <c r="K153" s="128">
        <f>EDisponible!AB65</f>
        <v>239302.2244322428</v>
      </c>
      <c r="L153" s="128">
        <f t="shared" si="102"/>
        <v>152486.06798415558</v>
      </c>
      <c r="M153" s="128">
        <f t="shared" si="103"/>
        <v>11.116365305061526</v>
      </c>
      <c r="N153" s="134">
        <f t="shared" si="104"/>
        <v>2.5978950119007833</v>
      </c>
      <c r="O153" s="128">
        <f>EDisponible!AH65</f>
        <v>215361.26124199288</v>
      </c>
      <c r="P153" s="128">
        <f t="shared" si="105"/>
        <v>137688.28568554652</v>
      </c>
      <c r="Q153" s="128">
        <f t="shared" si="106"/>
        <v>9.9456277027522795</v>
      </c>
      <c r="R153" s="134">
        <f t="shared" si="107"/>
        <v>2.3246113699312381</v>
      </c>
      <c r="S153" s="128">
        <f>EDisponible!AN65</f>
        <v>178929.10983342474</v>
      </c>
      <c r="T153" s="128">
        <f t="shared" si="108"/>
        <v>125924.79230554684</v>
      </c>
      <c r="U153" s="128">
        <f t="shared" si="109"/>
        <v>6.7869320699275013</v>
      </c>
      <c r="V153" s="134">
        <f t="shared" si="110"/>
        <v>1.5867883256034092</v>
      </c>
      <c r="W153" s="128">
        <f>EDisponible!AT65</f>
        <v>146200.82623778196</v>
      </c>
      <c r="X153" s="128">
        <f t="shared" si="111"/>
        <v>117252.73110496359</v>
      </c>
      <c r="Y153" s="128">
        <f t="shared" si="112"/>
        <v>3.7066556911501309</v>
      </c>
      <c r="Z153" s="134">
        <f t="shared" si="113"/>
        <v>0.86677357416559975</v>
      </c>
      <c r="AA153" s="128">
        <f>EDisponible!AZ65</f>
        <v>118512.71875321187</v>
      </c>
      <c r="AB153" s="128">
        <f t="shared" si="114"/>
        <v>111833.3470609014</v>
      </c>
      <c r="AC153" s="128">
        <f t="shared" si="115"/>
        <v>0.85525942149269241</v>
      </c>
      <c r="AD153" s="134">
        <f t="shared" si="116"/>
        <v>0.20001043343469022</v>
      </c>
      <c r="AE153" s="128">
        <f>EDisponible!BF65</f>
        <v>95245.091973762086</v>
      </c>
      <c r="AF153" s="128">
        <f t="shared" si="117"/>
        <v>111390.94411538974</v>
      </c>
      <c r="AG153" s="128">
        <f t="shared" si="118"/>
        <v>-2.067393880483146</v>
      </c>
      <c r="AH153" s="134">
        <f t="shared" si="119"/>
        <v>-0.48346992880729578</v>
      </c>
    </row>
    <row r="154" spans="1:34">
      <c r="A154" s="125">
        <v>250</v>
      </c>
      <c r="B154" s="126"/>
      <c r="C154" s="128">
        <f>EDisponible!P66</f>
        <v>281227.84887947468</v>
      </c>
      <c r="D154" s="128">
        <f t="shared" si="96"/>
        <v>197751.26016528238</v>
      </c>
      <c r="E154" s="128">
        <f t="shared" si="97"/>
        <v>10.906888487741529</v>
      </c>
      <c r="F154" s="134">
        <f t="shared" si="98"/>
        <v>2.4980905907322173</v>
      </c>
      <c r="G154" s="128">
        <f>EDisponible!V66</f>
        <v>260804.86292112892</v>
      </c>
      <c r="H154" s="128">
        <f t="shared" si="99"/>
        <v>175725.51552019687</v>
      </c>
      <c r="I154" s="128">
        <f t="shared" si="100"/>
        <v>11.116301815936833</v>
      </c>
      <c r="J154" s="134">
        <f t="shared" si="101"/>
        <v>2.5459916553984407</v>
      </c>
      <c r="K154" s="128">
        <f>EDisponible!AB66</f>
        <v>238288.58786555473</v>
      </c>
      <c r="L154" s="128">
        <f t="shared" si="102"/>
        <v>156883.98504226306</v>
      </c>
      <c r="M154" s="128">
        <f t="shared" si="103"/>
        <v>10.636166846999823</v>
      </c>
      <c r="N154" s="134">
        <f t="shared" si="104"/>
        <v>2.4361607343759926</v>
      </c>
      <c r="O154" s="128">
        <f>EDisponible!AH66</f>
        <v>214728.19023571484</v>
      </c>
      <c r="P154" s="128">
        <f t="shared" si="105"/>
        <v>141154.51187820884</v>
      </c>
      <c r="Q154" s="128">
        <f t="shared" si="106"/>
        <v>9.6129935091831307</v>
      </c>
      <c r="R154" s="134">
        <f t="shared" si="107"/>
        <v>2.2020509698451836</v>
      </c>
      <c r="S154" s="128">
        <f>EDisponible!AN66</f>
        <v>180309.65759659346</v>
      </c>
      <c r="T154" s="128">
        <f t="shared" si="108"/>
        <v>128514.08692218589</v>
      </c>
      <c r="U154" s="128">
        <f t="shared" si="109"/>
        <v>6.767508378174206</v>
      </c>
      <c r="V154" s="134">
        <f t="shared" si="110"/>
        <v>1.5506199876311724</v>
      </c>
      <c r="W154" s="128">
        <f>EDisponible!AT66</f>
        <v>147390.39050176713</v>
      </c>
      <c r="X154" s="128">
        <f t="shared" si="111"/>
        <v>119018.35675413112</v>
      </c>
      <c r="Y154" s="128">
        <f t="shared" si="112"/>
        <v>3.7070346671137275</v>
      </c>
      <c r="Z154" s="134">
        <f t="shared" si="113"/>
        <v>0.84952750446991754</v>
      </c>
      <c r="AA154" s="128">
        <f>EDisponible!AZ66</f>
        <v>119530.72931963032</v>
      </c>
      <c r="AB154" s="128">
        <f t="shared" si="114"/>
        <v>114372.29884157187</v>
      </c>
      <c r="AC154" s="128">
        <f t="shared" si="115"/>
        <v>0.67399047879858154</v>
      </c>
      <c r="AD154" s="134">
        <f t="shared" si="116"/>
        <v>0.15446686523679504</v>
      </c>
      <c r="AE154" s="128">
        <f>EDisponible!BF66</f>
        <v>96109.870552333101</v>
      </c>
      <c r="AF154" s="128">
        <f t="shared" si="117"/>
        <v>117214.49773388376</v>
      </c>
      <c r="AG154" s="128">
        <f t="shared" si="118"/>
        <v>-2.7574894804655186</v>
      </c>
      <c r="AH154" s="134">
        <f t="shared" si="119"/>
        <v>-0.63194441051457606</v>
      </c>
    </row>
    <row r="155" spans="1:34">
      <c r="A155" s="125">
        <v>255</v>
      </c>
      <c r="B155" s="126"/>
      <c r="C155" s="128">
        <f>EDisponible!P67</f>
        <v>279100.07190119667</v>
      </c>
      <c r="D155" s="128">
        <f t="shared" si="96"/>
        <v>204419.91232721461</v>
      </c>
      <c r="E155" s="128">
        <f t="shared" si="97"/>
        <v>9.9527154735458989</v>
      </c>
      <c r="F155" s="134">
        <f t="shared" si="98"/>
        <v>2.2351344741081043</v>
      </c>
      <c r="G155" s="128">
        <f>EDisponible!V67</f>
        <v>259277.17382969995</v>
      </c>
      <c r="H155" s="128">
        <f t="shared" si="99"/>
        <v>181296.23041008788</v>
      </c>
      <c r="I155" s="128">
        <f t="shared" si="100"/>
        <v>10.392614941391672</v>
      </c>
      <c r="J155" s="134">
        <f t="shared" si="101"/>
        <v>2.3338181184231348</v>
      </c>
      <c r="K155" s="128">
        <f>EDisponible!AB67</f>
        <v>237249.2806086106</v>
      </c>
      <c r="L155" s="128">
        <f t="shared" si="102"/>
        <v>161443.36506899426</v>
      </c>
      <c r="M155" s="128">
        <f t="shared" si="103"/>
        <v>10.102746336930776</v>
      </c>
      <c r="N155" s="134">
        <f t="shared" si="104"/>
        <v>2.268792757983503</v>
      </c>
      <c r="O155" s="128">
        <f>EDisponible!AH67</f>
        <v>214079.90882189752</v>
      </c>
      <c r="P155" s="128">
        <f t="shared" si="105"/>
        <v>144775.73601936505</v>
      </c>
      <c r="Q155" s="128">
        <f t="shared" si="106"/>
        <v>9.2362511939968037</v>
      </c>
      <c r="R155" s="134">
        <f t="shared" si="107"/>
        <v>2.0743802746160256</v>
      </c>
      <c r="S155" s="128">
        <f>EDisponible!AN67</f>
        <v>181747.73869151494</v>
      </c>
      <c r="T155" s="128">
        <f t="shared" si="108"/>
        <v>131272.617545196</v>
      </c>
      <c r="U155" s="128">
        <f t="shared" si="109"/>
        <v>6.726880635068861</v>
      </c>
      <c r="V155" s="134">
        <f t="shared" si="110"/>
        <v>1.5111078506372284</v>
      </c>
      <c r="W155" s="128">
        <f>EDisponible!AT67</f>
        <v>148628.75616162177</v>
      </c>
      <c r="X155" s="128">
        <f t="shared" si="111"/>
        <v>122720.27646753771</v>
      </c>
      <c r="Y155" s="128">
        <f t="shared" si="112"/>
        <v>3.4528545227854108</v>
      </c>
      <c r="Z155" s="134">
        <f t="shared" si="113"/>
        <v>0.77577216445215635</v>
      </c>
      <c r="AA155" s="128">
        <f>EDisponible!AZ67</f>
        <v>120589.88113836778</v>
      </c>
      <c r="AB155" s="128">
        <f t="shared" si="114"/>
        <v>121935.61961519269</v>
      </c>
      <c r="AC155" s="128">
        <f t="shared" si="115"/>
        <v>-0.17934819954920894</v>
      </c>
      <c r="AD155" s="134">
        <f t="shared" si="116"/>
        <v>-4.0297620404138576E-2</v>
      </c>
      <c r="AE155" s="128">
        <f>EDisponible!BF67</f>
        <v>97009.103053489351</v>
      </c>
      <c r="AF155" s="128">
        <f t="shared" si="117"/>
        <v>129834.33800064938</v>
      </c>
      <c r="AG155" s="128">
        <f t="shared" si="118"/>
        <v>-4.3746588872474623</v>
      </c>
      <c r="AH155" s="134">
        <f t="shared" si="119"/>
        <v>-0.98284276732945108</v>
      </c>
    </row>
    <row r="156" spans="1:34">
      <c r="A156" s="125">
        <v>260</v>
      </c>
      <c r="B156" s="126"/>
      <c r="C156" s="128">
        <f>EDisponible!P68</f>
        <v>276911.71780007443</v>
      </c>
      <c r="D156" s="128">
        <f t="shared" si="96"/>
        <v>211270.40928686858</v>
      </c>
      <c r="E156" s="128">
        <f t="shared" si="97"/>
        <v>8.9196281364346639</v>
      </c>
      <c r="F156" s="134">
        <f t="shared" si="98"/>
        <v>1.9648334518488921</v>
      </c>
      <c r="G156" s="128">
        <f>EDisponible!V68</f>
        <v>257706.10278705705</v>
      </c>
      <c r="H156" s="128">
        <f t="shared" si="99"/>
        <v>187034.89552303596</v>
      </c>
      <c r="I156" s="128">
        <f t="shared" si="100"/>
        <v>9.6031127810493153</v>
      </c>
      <c r="J156" s="134">
        <f t="shared" si="101"/>
        <v>2.1152609043925028</v>
      </c>
      <c r="K156" s="128">
        <f>EDisponible!AB68</f>
        <v>236180.49308482822</v>
      </c>
      <c r="L156" s="128">
        <f t="shared" si="102"/>
        <v>166160.10084711024</v>
      </c>
      <c r="M156" s="128">
        <f t="shared" si="103"/>
        <v>9.5146771884063099</v>
      </c>
      <c r="N156" s="134">
        <f t="shared" si="104"/>
        <v>2.0957988022705405</v>
      </c>
      <c r="O156" s="128">
        <f>EDisponible!AH68</f>
        <v>213413.21323244835</v>
      </c>
      <c r="P156" s="128">
        <f t="shared" si="105"/>
        <v>148571.2265136558</v>
      </c>
      <c r="Q156" s="128">
        <f t="shared" si="106"/>
        <v>8.8110127945256913</v>
      </c>
      <c r="R156" s="134">
        <f t="shared" si="107"/>
        <v>1.9409258606822357</v>
      </c>
      <c r="S156" s="128">
        <f>EDisponible!AN68</f>
        <v>183243.64325921735</v>
      </c>
      <c r="T156" s="128">
        <f t="shared" si="108"/>
        <v>136244.85505955943</v>
      </c>
      <c r="U156" s="128">
        <f t="shared" si="109"/>
        <v>6.3864009280019829</v>
      </c>
      <c r="V156" s="134">
        <f t="shared" si="110"/>
        <v>1.4070779051284321</v>
      </c>
      <c r="W156" s="128">
        <f>EDisponible!AT68</f>
        <v>149916.20108192565</v>
      </c>
      <c r="X156" s="128">
        <f t="shared" si="111"/>
        <v>132200.51485213407</v>
      </c>
      <c r="Y156" s="128">
        <f t="shared" si="112"/>
        <v>2.4072849388690489</v>
      </c>
      <c r="Z156" s="134">
        <f t="shared" si="113"/>
        <v>0.53047433079356199</v>
      </c>
      <c r="AA156" s="128">
        <f>EDisponible!AZ68</f>
        <v>121690.43646174285</v>
      </c>
      <c r="AB156" s="128">
        <f t="shared" si="114"/>
        <v>137348.67266857449</v>
      </c>
      <c r="AC156" s="128">
        <f t="shared" si="115"/>
        <v>-2.1277096298178959</v>
      </c>
      <c r="AD156" s="134">
        <f t="shared" si="116"/>
        <v>-0.46886946358133147</v>
      </c>
      <c r="AE156" s="128">
        <f>EDisponible!BF68</f>
        <v>97943.033631259706</v>
      </c>
      <c r="AF156" s="128">
        <f t="shared" si="117"/>
        <v>151620.00094596128</v>
      </c>
      <c r="AG156" s="128">
        <f t="shared" si="118"/>
        <v>-7.2938611186029956</v>
      </c>
      <c r="AH156" s="134">
        <f t="shared" si="119"/>
        <v>-1.6069149259961311</v>
      </c>
    </row>
    <row r="157" spans="1:34">
      <c r="A157" s="125">
        <v>265</v>
      </c>
      <c r="B157" s="126"/>
      <c r="C157" s="128">
        <f>EDisponible!P69</f>
        <v>274657.37993899314</v>
      </c>
      <c r="D157" s="128">
        <f t="shared" si="96"/>
        <v>218299.9868339666</v>
      </c>
      <c r="E157" s="128">
        <f t="shared" si="97"/>
        <v>7.8053600442460596</v>
      </c>
      <c r="F157" s="134">
        <f t="shared" si="98"/>
        <v>1.6871129381722207</v>
      </c>
      <c r="G157" s="128">
        <f>EDisponible!V69</f>
        <v>256087.03126003058</v>
      </c>
      <c r="H157" s="128">
        <f t="shared" si="99"/>
        <v>192938.31103730426</v>
      </c>
      <c r="I157" s="128">
        <f t="shared" si="100"/>
        <v>8.7459421118571807</v>
      </c>
      <c r="J157" s="134">
        <f t="shared" si="101"/>
        <v>1.8902782987582196</v>
      </c>
      <c r="K157" s="128">
        <f>EDisponible!AB69</f>
        <v>235078.30862631954</v>
      </c>
      <c r="L157" s="128">
        <f t="shared" si="102"/>
        <v>171071.89439156803</v>
      </c>
      <c r="M157" s="128">
        <f t="shared" si="103"/>
        <v>8.8647306186139545</v>
      </c>
      <c r="N157" s="134">
        <f t="shared" si="104"/>
        <v>1.9159332942896772</v>
      </c>
      <c r="O157" s="128">
        <f>EDisponible!AH69</f>
        <v>212724.80839919843</v>
      </c>
      <c r="P157" s="128">
        <f t="shared" si="105"/>
        <v>154991.23165969312</v>
      </c>
      <c r="Q157" s="128">
        <f t="shared" si="106"/>
        <v>7.9959580858213339</v>
      </c>
      <c r="R157" s="134">
        <f t="shared" si="107"/>
        <v>1.7282856352307476</v>
      </c>
      <c r="S157" s="128">
        <f>EDisponible!AN69</f>
        <v>184797.69348021675</v>
      </c>
      <c r="T157" s="128">
        <f t="shared" si="108"/>
        <v>147918.95764722928</v>
      </c>
      <c r="U157" s="128">
        <f t="shared" si="109"/>
        <v>5.1076140199861761</v>
      </c>
      <c r="V157" s="134">
        <f t="shared" si="110"/>
        <v>1.1041830069198715</v>
      </c>
      <c r="W157" s="128">
        <f>EDisponible!AT69</f>
        <v>151253.03016436525</v>
      </c>
      <c r="X157" s="128">
        <f t="shared" si="111"/>
        <v>150775.68199743953</v>
      </c>
      <c r="Y157" s="128">
        <f t="shared" si="112"/>
        <v>6.6111544626853425E-2</v>
      </c>
      <c r="Z157" s="134">
        <f t="shared" si="113"/>
        <v>1.4294009077827012E-2</v>
      </c>
      <c r="AA157" s="128">
        <f>EDisponible!AZ69</f>
        <v>122832.68020263124</v>
      </c>
      <c r="AB157" s="128">
        <f t="shared" si="114"/>
        <v>163397.24676820368</v>
      </c>
      <c r="AC157" s="128">
        <f t="shared" si="115"/>
        <v>-5.6180924921958315</v>
      </c>
      <c r="AD157" s="134">
        <f t="shared" si="116"/>
        <v>-1.2145085896919883</v>
      </c>
      <c r="AE157" s="128">
        <f>EDisponible!BF69</f>
        <v>98911.925289896302</v>
      </c>
      <c r="AF157" s="128">
        <f t="shared" si="117"/>
        <v>185027.61909157792</v>
      </c>
      <c r="AG157" s="128">
        <f t="shared" si="118"/>
        <v>-11.926811347173954</v>
      </c>
      <c r="AH157" s="134">
        <f t="shared" si="119"/>
        <v>-2.5769626709539573</v>
      </c>
    </row>
    <row r="158" spans="1:34">
      <c r="A158" s="125">
        <v>270</v>
      </c>
      <c r="B158" s="126"/>
      <c r="C158" s="128">
        <f>EDisponible!P70</f>
        <v>272331.49854289211</v>
      </c>
      <c r="D158" s="128">
        <f t="shared" si="96"/>
        <v>225506.13431074703</v>
      </c>
      <c r="E158" s="128">
        <f t="shared" si="97"/>
        <v>6.6075597560965207</v>
      </c>
      <c r="F158" s="134">
        <f t="shared" si="98"/>
        <v>1.4018879101724679</v>
      </c>
      <c r="G158" s="128">
        <f>EDisponible!V70</f>
        <v>254415.20860573874</v>
      </c>
      <c r="H158" s="128">
        <f t="shared" si="99"/>
        <v>199082.67084276085</v>
      </c>
      <c r="I158" s="128">
        <f t="shared" si="100"/>
        <v>7.8080129374488569</v>
      </c>
      <c r="J158" s="134">
        <f t="shared" si="101"/>
        <v>1.6564501552547832</v>
      </c>
      <c r="K158" s="128">
        <f>EDisponible!AB70</f>
        <v>233938.69712150196</v>
      </c>
      <c r="L158" s="128">
        <f t="shared" si="102"/>
        <v>179194.56118575399</v>
      </c>
      <c r="M158" s="128">
        <f t="shared" si="103"/>
        <v>7.7249831458439671</v>
      </c>
      <c r="N158" s="134">
        <f t="shared" si="104"/>
        <v>1.6388452529280166</v>
      </c>
      <c r="O158" s="128">
        <f>EDisponible!AH70</f>
        <v>212011.30231877591</v>
      </c>
      <c r="P158" s="128">
        <f t="shared" si="105"/>
        <v>169242.66275722397</v>
      </c>
      <c r="Q158" s="128">
        <f t="shared" si="106"/>
        <v>6.0351125127161112</v>
      </c>
      <c r="R158" s="134">
        <f t="shared" si="107"/>
        <v>1.2804774273778643</v>
      </c>
      <c r="S158" s="128">
        <f>EDisponible!AN70</f>
        <v>186410.24235112834</v>
      </c>
      <c r="T158" s="128">
        <f t="shared" si="108"/>
        <v>170157.37635186181</v>
      </c>
      <c r="U158" s="128">
        <f t="shared" si="109"/>
        <v>2.2934532396922562</v>
      </c>
      <c r="V158" s="134">
        <f t="shared" si="110"/>
        <v>0.48667418841154125</v>
      </c>
      <c r="W158" s="128">
        <f>EDisponible!AT70</f>
        <v>152639.57432077656</v>
      </c>
      <c r="X158" s="128">
        <f t="shared" si="111"/>
        <v>181699.74835791116</v>
      </c>
      <c r="Y158" s="128">
        <f t="shared" si="112"/>
        <v>-4.1007013959565564</v>
      </c>
      <c r="Z158" s="134">
        <f t="shared" si="113"/>
        <v>-0.87012896334160772</v>
      </c>
      <c r="AA158" s="128">
        <f>EDisponible!AZ70</f>
        <v>124016.91907644203</v>
      </c>
      <c r="AB158" s="128">
        <f t="shared" si="114"/>
        <v>202958.66829867091</v>
      </c>
      <c r="AC158" s="128">
        <f t="shared" si="115"/>
        <v>-11.139525207976545</v>
      </c>
      <c r="AD158" s="134">
        <f t="shared" si="116"/>
        <v>-2.3625407843525505</v>
      </c>
      <c r="AE158" s="128">
        <f>EDisponible!BF70</f>
        <v>99916.059170334993</v>
      </c>
      <c r="AF158" s="128">
        <f t="shared" si="117"/>
        <v>232640.93234188994</v>
      </c>
      <c r="AG158" s="128">
        <f t="shared" si="118"/>
        <v>-18.728899283165415</v>
      </c>
      <c r="AH158" s="134">
        <f t="shared" si="119"/>
        <v>-3.9680396957713024</v>
      </c>
    </row>
    <row r="159" spans="1:34">
      <c r="A159" s="125">
        <v>275</v>
      </c>
      <c r="B159" s="126"/>
      <c r="C159" s="128">
        <f>EDisponible!P71</f>
        <v>269928.35268500034</v>
      </c>
      <c r="D159" s="128">
        <f t="shared" si="96"/>
        <v>233043.26246555737</v>
      </c>
      <c r="E159" s="128">
        <f t="shared" si="97"/>
        <v>5.3012674486168603</v>
      </c>
      <c r="F159" s="134">
        <f t="shared" si="98"/>
        <v>1.1043732159339135</v>
      </c>
      <c r="G159" s="128">
        <f>EDisponible!V71</f>
        <v>252685.74489656027</v>
      </c>
      <c r="H159" s="128">
        <f t="shared" si="99"/>
        <v>209253.45106573941</v>
      </c>
      <c r="I159" s="128">
        <f t="shared" si="100"/>
        <v>6.2422568071346474</v>
      </c>
      <c r="J159" s="134">
        <f t="shared" si="101"/>
        <v>1.3003402234380981</v>
      </c>
      <c r="K159" s="128">
        <f>EDisponible!AB71</f>
        <v>232757.50861677658</v>
      </c>
      <c r="L159" s="128">
        <f t="shared" si="102"/>
        <v>196526.08272460461</v>
      </c>
      <c r="M159" s="128">
        <f t="shared" si="103"/>
        <v>5.2073202900260114</v>
      </c>
      <c r="N159" s="134">
        <f t="shared" si="104"/>
        <v>1.084806629325098</v>
      </c>
      <c r="O159" s="128">
        <f>EDisponible!AH71</f>
        <v>211269.20037138966</v>
      </c>
      <c r="P159" s="128">
        <f t="shared" si="105"/>
        <v>195790.15263183194</v>
      </c>
      <c r="Q159" s="128">
        <f t="shared" si="106"/>
        <v>2.2247084507346218</v>
      </c>
      <c r="R159" s="134">
        <f t="shared" si="107"/>
        <v>0.46350408827599188</v>
      </c>
      <c r="S159" s="128">
        <f>EDisponible!AN71</f>
        <v>188081.67253590858</v>
      </c>
      <c r="T159" s="128">
        <f t="shared" si="108"/>
        <v>206738.18671289057</v>
      </c>
      <c r="U159" s="128">
        <f t="shared" si="109"/>
        <v>-2.6813861840294346</v>
      </c>
      <c r="V159" s="134">
        <f t="shared" si="110"/>
        <v>-0.55864452056439984</v>
      </c>
      <c r="W159" s="128">
        <f>EDisponible!AT71</f>
        <v>154076.18950659374</v>
      </c>
      <c r="X159" s="128">
        <f t="shared" si="111"/>
        <v>228323.87873374487</v>
      </c>
      <c r="Y159" s="128">
        <f t="shared" si="112"/>
        <v>-10.671164302248011</v>
      </c>
      <c r="Z159" s="134">
        <f t="shared" si="113"/>
        <v>-2.2222038980785124</v>
      </c>
      <c r="AA159" s="128">
        <f>EDisponible!AZ71</f>
        <v>125243.48079138687</v>
      </c>
      <c r="AB159" s="128">
        <f t="shared" si="114"/>
        <v>259052.28151224687</v>
      </c>
      <c r="AC159" s="128">
        <f t="shared" si="115"/>
        <v>-19.231516999951321</v>
      </c>
      <c r="AD159" s="134">
        <f t="shared" si="116"/>
        <v>-4.000340798743153</v>
      </c>
      <c r="AE159" s="128">
        <f>EDisponible!BF71</f>
        <v>100955.73387471512</v>
      </c>
      <c r="AF159" s="128">
        <f t="shared" si="117"/>
        <v>297193.44603333215</v>
      </c>
      <c r="AG159" s="128">
        <f t="shared" si="118"/>
        <v>-28.204040967999351</v>
      </c>
      <c r="AH159" s="134">
        <f t="shared" si="119"/>
        <v>-5.8557894194330613</v>
      </c>
    </row>
    <row r="160" spans="1:34" ht="15" customHeight="1">
      <c r="A160" s="125">
        <v>280</v>
      </c>
      <c r="B160" s="126"/>
      <c r="C160" s="128">
        <f>EDisponible!P72</f>
        <v>267442.05221162044</v>
      </c>
      <c r="D160" s="128">
        <f t="shared" si="96"/>
        <v>245716.71625654039</v>
      </c>
      <c r="E160" s="128">
        <f t="shared" si="97"/>
        <v>3.179220889391146</v>
      </c>
      <c r="F160" s="134">
        <f t="shared" si="98"/>
        <v>0.65052897060191661</v>
      </c>
      <c r="G160" s="128">
        <f>EDisponible!V72</f>
        <v>250893.60368409174</v>
      </c>
      <c r="H160" s="128">
        <f t="shared" si="99"/>
        <v>230305.54566542327</v>
      </c>
      <c r="I160" s="128">
        <f t="shared" si="100"/>
        <v>3.0127950269805845</v>
      </c>
      <c r="J160" s="134">
        <f t="shared" si="101"/>
        <v>0.61647777931660541</v>
      </c>
      <c r="K160" s="128">
        <f>EDisponible!AB72</f>
        <v>231530.46685831877</v>
      </c>
      <c r="L160" s="128">
        <f t="shared" si="102"/>
        <v>228191.7657740151</v>
      </c>
      <c r="M160" s="128">
        <f t="shared" si="103"/>
        <v>0.48857556231111376</v>
      </c>
      <c r="N160" s="134">
        <f t="shared" si="104"/>
        <v>9.9976033153932567E-2</v>
      </c>
      <c r="O160" s="128">
        <f>EDisponible!AH72</f>
        <v>210494.89958143531</v>
      </c>
      <c r="P160" s="128">
        <f t="shared" si="105"/>
        <v>238995.85992811903</v>
      </c>
      <c r="Q160" s="128">
        <f t="shared" si="106"/>
        <v>-4.1707455612762558</v>
      </c>
      <c r="R160" s="134">
        <f t="shared" si="107"/>
        <v>-0.85338730992945788</v>
      </c>
      <c r="S160" s="128">
        <f>EDisponible!AN72</f>
        <v>188722.16304514927</v>
      </c>
      <c r="T160" s="128">
        <f t="shared" si="108"/>
        <v>261543.61295086856</v>
      </c>
      <c r="U160" s="128">
        <f t="shared" si="109"/>
        <v>-10.656473861426212</v>
      </c>
      <c r="V160" s="134">
        <f t="shared" si="110"/>
        <v>-2.1795586920444552</v>
      </c>
      <c r="W160" s="128">
        <f>EDisponible!AT72</f>
        <v>155563.25580790994</v>
      </c>
      <c r="X160" s="128">
        <f t="shared" si="111"/>
        <v>294157.1357186634</v>
      </c>
      <c r="Y160" s="128">
        <f t="shared" si="112"/>
        <v>-20.281415167299386</v>
      </c>
      <c r="Z160" s="134">
        <f t="shared" si="113"/>
        <v>-4.1429057195885006</v>
      </c>
      <c r="AA160" s="128">
        <f>EDisponible!AZ72</f>
        <v>126512.71328144173</v>
      </c>
      <c r="AB160" s="128">
        <f t="shared" si="114"/>
        <v>334866.37637806969</v>
      </c>
      <c r="AC160" s="128">
        <f t="shared" si="115"/>
        <v>-30.489853849329069</v>
      </c>
      <c r="AD160" s="134">
        <f t="shared" si="116"/>
        <v>-6.2145851852194411</v>
      </c>
      <c r="AE160" s="128">
        <f>EDisponible!BF72</f>
        <v>102031.26482436834</v>
      </c>
      <c r="AF160" s="128">
        <f t="shared" si="117"/>
        <v>381582.65429266461</v>
      </c>
      <c r="AG160" s="128">
        <f t="shared" si="118"/>
        <v>-40.908716849927877</v>
      </c>
      <c r="AH160" s="134">
        <f t="shared" si="119"/>
        <v>-8.3122487214809766</v>
      </c>
    </row>
    <row r="161" spans="1:34">
      <c r="A161" s="125">
        <v>285</v>
      </c>
      <c r="B161" s="126"/>
      <c r="C161" s="128">
        <f>EDisponible!P73</f>
        <v>264866.52958861901</v>
      </c>
      <c r="D161" s="128">
        <f t="shared" si="96"/>
        <v>271291.55638140818</v>
      </c>
      <c r="E161" s="128">
        <f t="shared" si="97"/>
        <v>-0.957008894309062</v>
      </c>
      <c r="F161" s="134">
        <f t="shared" si="98"/>
        <v>-0.19239426144042954</v>
      </c>
      <c r="G161" s="128">
        <f>EDisponible!V73</f>
        <v>249033.59468736945</v>
      </c>
      <c r="H161" s="128">
        <f t="shared" si="99"/>
        <v>268086.2979370667</v>
      </c>
      <c r="I161" s="128">
        <f t="shared" si="100"/>
        <v>-2.8379035696870689</v>
      </c>
      <c r="J161" s="134">
        <f t="shared" si="101"/>
        <v>-0.57050709979827274</v>
      </c>
      <c r="K161" s="128">
        <f>EDisponible!AB73</f>
        <v>230253.16276115685</v>
      </c>
      <c r="L161" s="128">
        <f t="shared" si="102"/>
        <v>279202.0397761747</v>
      </c>
      <c r="M161" s="128">
        <f t="shared" si="103"/>
        <v>-7.2909440194687205</v>
      </c>
      <c r="N161" s="134">
        <f t="shared" si="104"/>
        <v>-1.4654358821684992</v>
      </c>
      <c r="O161" s="128">
        <f>EDisponible!AH73</f>
        <v>209684.68280877228</v>
      </c>
      <c r="P161" s="128">
        <f t="shared" si="105"/>
        <v>303335.00897987263</v>
      </c>
      <c r="Q161" s="128">
        <f t="shared" si="106"/>
        <v>-13.94923289678314</v>
      </c>
      <c r="R161" s="134">
        <f t="shared" si="107"/>
        <v>-2.8020872969103388</v>
      </c>
      <c r="S161" s="128">
        <f>EDisponible!AN73</f>
        <v>188279.2078179649</v>
      </c>
      <c r="T161" s="128">
        <f t="shared" si="108"/>
        <v>338631.42214954429</v>
      </c>
      <c r="U161" s="128">
        <f t="shared" si="109"/>
        <v>-22.394989318312323</v>
      </c>
      <c r="V161" s="134">
        <f t="shared" si="110"/>
        <v>-4.4930074975693879</v>
      </c>
      <c r="W161" s="128">
        <f>EDisponible!AT73</f>
        <v>157101.17657606371</v>
      </c>
      <c r="X161" s="128">
        <f t="shared" si="111"/>
        <v>382898.60618684581</v>
      </c>
      <c r="Y161" s="128">
        <f t="shared" si="112"/>
        <v>-33.632567679275923</v>
      </c>
      <c r="Z161" s="134">
        <f t="shared" si="113"/>
        <v>-6.7302910723551186</v>
      </c>
      <c r="AA161" s="128">
        <f>EDisponible!AZ73</f>
        <v>127824.98397697367</v>
      </c>
      <c r="AB161" s="128">
        <f t="shared" si="114"/>
        <v>433775.29508161807</v>
      </c>
      <c r="AC161" s="128">
        <f t="shared" si="115"/>
        <v>-45.571353768108267</v>
      </c>
      <c r="AD161" s="134">
        <f t="shared" si="116"/>
        <v>-9.0846616064892149</v>
      </c>
      <c r="AE161" s="128">
        <f>EDisponible!BF73</f>
        <v>103142.98364715031</v>
      </c>
      <c r="AF161" s="128">
        <f t="shared" si="117"/>
        <v>488880.29497574171</v>
      </c>
      <c r="AG161" s="128">
        <f t="shared" si="118"/>
        <v>-57.455641776097899</v>
      </c>
      <c r="AH161" s="134">
        <f t="shared" si="119"/>
        <v>-11.397983439772103</v>
      </c>
    </row>
    <row r="162" spans="1:34">
      <c r="A162" s="125">
        <v>290</v>
      </c>
      <c r="B162" s="126"/>
      <c r="C162" s="128">
        <f>EDisponible!P74</f>
        <v>262195.53165415145</v>
      </c>
      <c r="D162" s="128">
        <f t="shared" si="96"/>
        <v>316402.25592596544</v>
      </c>
      <c r="E162" s="128">
        <f t="shared" si="97"/>
        <v>-8.215752212557474</v>
      </c>
      <c r="F162" s="134">
        <f t="shared" si="98"/>
        <v>-1.622765698775581</v>
      </c>
      <c r="G162" s="128">
        <f>EDisponible!V74</f>
        <v>247100.3663917993</v>
      </c>
      <c r="H162" s="128">
        <f t="shared" si="99"/>
        <v>328323.05020719668</v>
      </c>
      <c r="I162" s="128">
        <f t="shared" si="100"/>
        <v>-12.310381289968261</v>
      </c>
      <c r="J162" s="134">
        <f t="shared" si="101"/>
        <v>-2.430723059326545</v>
      </c>
      <c r="K162" s="128">
        <f>EDisponible!AB74</f>
        <v>228921.04779367952</v>
      </c>
      <c r="L162" s="128">
        <f t="shared" si="102"/>
        <v>354691.97988728515</v>
      </c>
      <c r="M162" s="128">
        <f t="shared" si="103"/>
        <v>-19.06226261601913</v>
      </c>
      <c r="N162" s="134">
        <f t="shared" si="104"/>
        <v>-3.7607526247374365</v>
      </c>
      <c r="O162" s="128">
        <f>EDisponible!AH74</f>
        <v>208834.71286032625</v>
      </c>
      <c r="P162" s="128">
        <f t="shared" si="105"/>
        <v>393478.12145561673</v>
      </c>
      <c r="Q162" s="128">
        <f t="shared" si="106"/>
        <v>-27.985171822856337</v>
      </c>
      <c r="R162" s="134">
        <f t="shared" si="107"/>
        <v>-5.5120090080057009</v>
      </c>
      <c r="S162" s="128">
        <f>EDisponible!AN74</f>
        <v>187808.65781557065</v>
      </c>
      <c r="T162" s="128">
        <f t="shared" si="108"/>
        <v>442272.5898098817</v>
      </c>
      <c r="U162" s="128">
        <f t="shared" si="109"/>
        <v>-38.567403590284783</v>
      </c>
      <c r="V162" s="134">
        <f t="shared" si="110"/>
        <v>-7.5753734952825136</v>
      </c>
      <c r="W162" s="128">
        <f>EDisponible!AT74</f>
        <v>158690.37760427091</v>
      </c>
      <c r="X162" s="128">
        <f t="shared" si="111"/>
        <v>498457.66506238148</v>
      </c>
      <c r="Y162" s="128">
        <f t="shared" si="112"/>
        <v>-51.496265107096647</v>
      </c>
      <c r="Z162" s="134">
        <f t="shared" si="113"/>
        <v>-10.069242357020043</v>
      </c>
      <c r="AA162" s="128">
        <f>EDisponible!AZ74</f>
        <v>129180.67910849898</v>
      </c>
      <c r="AB162" s="128">
        <f t="shared" si="114"/>
        <v>559351.65135304665</v>
      </c>
      <c r="AC162" s="128">
        <f t="shared" si="115"/>
        <v>-65.198149574107703</v>
      </c>
      <c r="AD162" s="134">
        <f t="shared" si="116"/>
        <v>-12.670632565897803</v>
      </c>
      <c r="AE162" s="128">
        <f>EDisponible!BF74</f>
        <v>104291.23759038826</v>
      </c>
      <c r="AF162" s="128">
        <f t="shared" si="117"/>
        <v>622340.38756844809</v>
      </c>
      <c r="AG162" s="128">
        <f t="shared" si="118"/>
        <v>-78.517259755518054</v>
      </c>
      <c r="AH162" s="134">
        <f t="shared" si="119"/>
        <v>-15.149575374980513</v>
      </c>
    </row>
    <row r="163" spans="1:34">
      <c r="A163" s="125">
        <v>295</v>
      </c>
      <c r="B163" s="126"/>
      <c r="C163" s="128">
        <f>EDisponible!P75</f>
        <v>259422.61126333397</v>
      </c>
      <c r="D163" s="128">
        <f t="shared" si="96"/>
        <v>387566.48905142985</v>
      </c>
      <c r="E163" s="128">
        <f t="shared" si="97"/>
        <v>-19.7567747820177</v>
      </c>
      <c r="F163" s="134">
        <f t="shared" si="98"/>
        <v>-3.8314981089889075</v>
      </c>
      <c r="G163" s="128">
        <f>EDisponible!V75</f>
        <v>245088.39854622984</v>
      </c>
      <c r="H163" s="128">
        <f t="shared" si="99"/>
        <v>416882.7240013408</v>
      </c>
      <c r="I163" s="128">
        <f t="shared" si="100"/>
        <v>-26.48664809767898</v>
      </c>
      <c r="J163" s="134">
        <f t="shared" si="101"/>
        <v>-5.1305587935063279</v>
      </c>
      <c r="K163" s="128">
        <f>EDisponible!AB75</f>
        <v>227529.42726655334</v>
      </c>
      <c r="L163" s="128">
        <f t="shared" si="102"/>
        <v>460014.20041656535</v>
      </c>
      <c r="M163" s="128">
        <f t="shared" si="103"/>
        <v>-35.843689005327967</v>
      </c>
      <c r="N163" s="134">
        <f t="shared" si="104"/>
        <v>-6.9277095411022023</v>
      </c>
      <c r="O163" s="128">
        <f>EDisponible!AH75</f>
        <v>207941.02651237269</v>
      </c>
      <c r="P163" s="128">
        <f t="shared" si="105"/>
        <v>514334.45593670994</v>
      </c>
      <c r="Q163" s="128">
        <f t="shared" si="106"/>
        <v>-47.238667069500849</v>
      </c>
      <c r="R163" s="134">
        <f t="shared" si="107"/>
        <v>-9.0975993466353948</v>
      </c>
      <c r="S163" s="128">
        <f>EDisponible!AN75</f>
        <v>187307.19423498659</v>
      </c>
      <c r="T163" s="128">
        <f t="shared" si="108"/>
        <v>576974.96192459285</v>
      </c>
      <c r="U163" s="128">
        <f t="shared" si="109"/>
        <v>-60.077613218368796</v>
      </c>
      <c r="V163" s="134">
        <f t="shared" si="110"/>
        <v>-11.511037731750697</v>
      </c>
      <c r="W163" s="128">
        <f>EDisponible!AT75</f>
        <v>160331.30634135997</v>
      </c>
      <c r="X163" s="128">
        <f t="shared" si="111"/>
        <v>644968.34985498502</v>
      </c>
      <c r="Y163" s="128">
        <f t="shared" si="112"/>
        <v>-74.719643926766466</v>
      </c>
      <c r="Z163" s="134">
        <f t="shared" si="113"/>
        <v>-14.213354993830555</v>
      </c>
      <c r="AA163" s="128">
        <f>EDisponible!AZ75</f>
        <v>130580.20303947473</v>
      </c>
      <c r="AB163" s="128">
        <f t="shared" si="114"/>
        <v>715375.82829524647</v>
      </c>
      <c r="AC163" s="128">
        <f t="shared" si="115"/>
        <v>-90.161743667482483</v>
      </c>
      <c r="AD163" s="134">
        <f t="shared" si="116"/>
        <v>-16.99488308023853</v>
      </c>
      <c r="AE163" s="128">
        <f>EDisponible!BF75</f>
        <v>105476.3889560674</v>
      </c>
      <c r="AF163" s="128">
        <f t="shared" si="117"/>
        <v>785405.93038215151</v>
      </c>
      <c r="AG163" s="128">
        <f t="shared" si="118"/>
        <v>-104.82915804849802</v>
      </c>
      <c r="AH163" s="134">
        <f t="shared" si="119"/>
        <v>-19.56282607914525</v>
      </c>
    </row>
    <row r="164" spans="1:34">
      <c r="A164" s="125">
        <v>300</v>
      </c>
      <c r="B164" s="126"/>
      <c r="C164" s="128">
        <f>EDisponible!P76</f>
        <v>256541.1188115995</v>
      </c>
      <c r="D164" s="128">
        <f t="shared" si="96"/>
        <v>491460.44015721389</v>
      </c>
      <c r="E164" s="128">
        <f t="shared" si="97"/>
        <v>-36.832921148301516</v>
      </c>
      <c r="F164" s="134">
        <f t="shared" si="98"/>
        <v>-6.9995395749452589</v>
      </c>
      <c r="G164" s="128">
        <f>EDisponible!V76</f>
        <v>242991.99454647326</v>
      </c>
      <c r="H164" s="128">
        <f t="shared" si="99"/>
        <v>539874.90566762071</v>
      </c>
      <c r="I164" s="128">
        <f t="shared" si="100"/>
        <v>-46.548171486991968</v>
      </c>
      <c r="J164" s="134">
        <f t="shared" si="101"/>
        <v>-8.8197169977523391</v>
      </c>
      <c r="K164" s="128">
        <f>EDisponible!AB76</f>
        <v>226073.45351574896</v>
      </c>
      <c r="L164" s="128">
        <f t="shared" si="102"/>
        <v>600788.18928108481</v>
      </c>
      <c r="M164" s="128">
        <f t="shared" si="103"/>
        <v>-58.751397017897588</v>
      </c>
      <c r="N164" s="134">
        <f t="shared" si="104"/>
        <v>-11.080456180441193</v>
      </c>
      <c r="O164" s="128">
        <f>EDisponible!AH76</f>
        <v>206999.5284344517</v>
      </c>
      <c r="P164" s="128">
        <f t="shared" si="105"/>
        <v>671079.26705801545</v>
      </c>
      <c r="Q164" s="128">
        <f t="shared" si="106"/>
        <v>-72.76290567048845</v>
      </c>
      <c r="R164" s="134">
        <f t="shared" si="107"/>
        <v>-13.63342232656027</v>
      </c>
      <c r="S164" s="128">
        <f>EDisponible!AN76</f>
        <v>186771.38472992275</v>
      </c>
      <c r="T164" s="128">
        <f t="shared" si="108"/>
        <v>747499.96236453264</v>
      </c>
      <c r="U164" s="128">
        <f t="shared" si="109"/>
        <v>-87.916444536418808</v>
      </c>
      <c r="V164" s="134">
        <f t="shared" si="110"/>
        <v>-16.333476828058323</v>
      </c>
      <c r="W164" s="128">
        <f>EDisponible!AT76</f>
        <v>162024.43113812877</v>
      </c>
      <c r="X164" s="128">
        <f t="shared" si="111"/>
        <v>826800.46035660175</v>
      </c>
      <c r="Y164" s="128">
        <f t="shared" si="112"/>
        <v>-104.23000937186266</v>
      </c>
      <c r="Z164" s="134">
        <f t="shared" si="113"/>
        <v>-19.158932719836752</v>
      </c>
      <c r="AA164" s="128">
        <f>EDisponible!AZ76</f>
        <v>132023.97762440742</v>
      </c>
      <c r="AB164" s="128">
        <f t="shared" si="114"/>
        <v>905843.83427847456</v>
      </c>
      <c r="AC164" s="128">
        <f t="shared" si="115"/>
        <v>-121.32695429166893</v>
      </c>
      <c r="AD164" s="134">
        <f t="shared" si="116"/>
        <v>-22.019549510576503</v>
      </c>
      <c r="AE164" s="128">
        <f>EDisponible!BF76</f>
        <v>106698.81455518684</v>
      </c>
      <c r="AF164" s="128">
        <f t="shared" si="117"/>
        <v>981714.73615978821</v>
      </c>
      <c r="AG164" s="128">
        <f t="shared" si="118"/>
        <v>-137.19345117873314</v>
      </c>
      <c r="AH164" s="134">
        <f t="shared" si="119"/>
        <v>-24.57516329411084</v>
      </c>
    </row>
    <row r="165" spans="1:34">
      <c r="A165" s="125">
        <v>305</v>
      </c>
      <c r="B165" s="126"/>
      <c r="C165" s="128">
        <f>EDisponible!P77</f>
        <v>253544.19362435659</v>
      </c>
      <c r="D165" s="128">
        <f t="shared" si="96"/>
        <v>635031.36906643154</v>
      </c>
      <c r="E165" s="128">
        <f t="shared" si="97"/>
        <v>-60.810132976100029</v>
      </c>
      <c r="F165" s="134">
        <f t="shared" si="98"/>
        <v>-11.275632725228004</v>
      </c>
      <c r="G165" s="128">
        <f>EDisponible!V77</f>
        <v>240805.27369431366</v>
      </c>
      <c r="H165" s="128">
        <f t="shared" si="99"/>
        <v>703707.08233806049</v>
      </c>
      <c r="I165" s="128">
        <f t="shared" si="100"/>
        <v>-73.787855400076538</v>
      </c>
      <c r="J165" s="134">
        <f t="shared" si="101"/>
        <v>-13.600104671833741</v>
      </c>
      <c r="K165" s="128">
        <f>EDisponible!AB77</f>
        <v>224548.11897000103</v>
      </c>
      <c r="L165" s="128">
        <f t="shared" si="102"/>
        <v>782931.31450680422</v>
      </c>
      <c r="M165" s="128">
        <f t="shared" si="103"/>
        <v>-89.007858082947408</v>
      </c>
      <c r="N165" s="134">
        <f t="shared" si="104"/>
        <v>-16.268778414355683</v>
      </c>
      <c r="O165" s="128">
        <f>EDisponible!AH77</f>
        <v>206005.985006387</v>
      </c>
      <c r="P165" s="128">
        <f t="shared" si="105"/>
        <v>869173.00482109748</v>
      </c>
      <c r="Q165" s="128">
        <f t="shared" si="106"/>
        <v>-105.7106955523851</v>
      </c>
      <c r="R165" s="134">
        <f t="shared" si="107"/>
        <v>-19.115929862586714</v>
      </c>
      <c r="S165" s="128">
        <f>EDisponible!AN77</f>
        <v>186197.67792052004</v>
      </c>
      <c r="T165" s="128">
        <f t="shared" si="108"/>
        <v>958875.43147452851</v>
      </c>
      <c r="U165" s="128">
        <f t="shared" si="109"/>
        <v>-123.16701573740833</v>
      </c>
      <c r="V165" s="134">
        <f t="shared" si="110"/>
        <v>-21.990150947105843</v>
      </c>
      <c r="W165" s="128">
        <f>EDisponible!AT77</f>
        <v>163770.24052225839</v>
      </c>
      <c r="X165" s="128">
        <f t="shared" si="111"/>
        <v>1048568.6846277232</v>
      </c>
      <c r="Y165" s="128">
        <f t="shared" si="112"/>
        <v>-141.03937040806088</v>
      </c>
      <c r="Z165" s="134">
        <f t="shared" si="113"/>
        <v>-24.816961870126811</v>
      </c>
      <c r="AA165" s="128">
        <f>EDisponible!AZ77</f>
        <v>133512.44158889103</v>
      </c>
      <c r="AB165" s="128">
        <f t="shared" si="114"/>
        <v>1134974.1056832098</v>
      </c>
      <c r="AC165" s="128">
        <f t="shared" si="115"/>
        <v>-159.63581709783807</v>
      </c>
      <c r="AD165" s="134">
        <f t="shared" si="116"/>
        <v>-27.627385703472836</v>
      </c>
      <c r="AE165" s="128">
        <f>EDisponible!BF77</f>
        <v>107958.90517848244</v>
      </c>
      <c r="AF165" s="128">
        <f t="shared" si="117"/>
        <v>1215104.6861319861</v>
      </c>
      <c r="AG165" s="128">
        <f t="shared" si="118"/>
        <v>-176.48216374690008</v>
      </c>
      <c r="AH165" s="134">
        <f t="shared" si="119"/>
        <v>-30.054963841989544</v>
      </c>
    </row>
    <row r="166" spans="1:34">
      <c r="A166" s="125">
        <v>310</v>
      </c>
      <c r="B166" s="126"/>
      <c r="C166" s="128">
        <f>EDisponible!P78</f>
        <v>250424.75520133469</v>
      </c>
      <c r="D166" s="128">
        <f t="shared" si="96"/>
        <v>825558.64833713474</v>
      </c>
      <c r="E166" s="128">
        <f t="shared" si="97"/>
        <v>-93.180884064313133</v>
      </c>
      <c r="F166" s="134">
        <f t="shared" si="98"/>
        <v>-16.729910787262092</v>
      </c>
      <c r="G166" s="128">
        <f>EDisponible!V78</f>
        <v>238522.16332169148</v>
      </c>
      <c r="H166" s="128">
        <f t="shared" si="99"/>
        <v>915119.4945935487</v>
      </c>
      <c r="I166" s="128">
        <f t="shared" si="100"/>
        <v>-109.61958291089664</v>
      </c>
      <c r="J166" s="134">
        <f t="shared" si="101"/>
        <v>-19.474183010680694</v>
      </c>
      <c r="K166" s="128">
        <f>EDisponible!AB78</f>
        <v>222948.24909356178</v>
      </c>
      <c r="L166" s="128">
        <f t="shared" si="102"/>
        <v>1012680.6518769707</v>
      </c>
      <c r="M166" s="128">
        <f t="shared" si="103"/>
        <v>-127.94927293254955</v>
      </c>
      <c r="N166" s="134">
        <f t="shared" si="104"/>
        <v>-22.427877829300289</v>
      </c>
      <c r="O166" s="128">
        <f>EDisponible!AH78</f>
        <v>204956.01802032415</v>
      </c>
      <c r="P166" s="128">
        <f t="shared" si="105"/>
        <v>1114376.0208078849</v>
      </c>
      <c r="Q166" s="128">
        <f t="shared" si="106"/>
        <v>-147.34057731058837</v>
      </c>
      <c r="R166" s="134">
        <f t="shared" si="107"/>
        <v>-25.421375683027691</v>
      </c>
      <c r="S166" s="128">
        <f>EDisponible!AN78</f>
        <v>185582.39779743165</v>
      </c>
      <c r="T166" s="128">
        <f t="shared" si="108"/>
        <v>1216406.1323641718</v>
      </c>
      <c r="U166" s="128">
        <f t="shared" si="109"/>
        <v>-167.00992246813342</v>
      </c>
      <c r="V166" s="134">
        <f t="shared" si="110"/>
        <v>-28.313197700304631</v>
      </c>
      <c r="W166" s="128">
        <f>EDisponible!AT78</f>
        <v>165569.24249807026</v>
      </c>
      <c r="X166" s="128">
        <f t="shared" si="111"/>
        <v>1315140.4602165292</v>
      </c>
      <c r="Y166" s="128">
        <f t="shared" si="112"/>
        <v>-186.24891288853738</v>
      </c>
      <c r="Z166" s="134">
        <f t="shared" si="113"/>
        <v>-30.997572011339475</v>
      </c>
      <c r="AA166" s="128">
        <f>EDisponible!AZ78</f>
        <v>135046.04992848376</v>
      </c>
      <c r="AB166" s="128">
        <f t="shared" si="114"/>
        <v>1407213.6000651915</v>
      </c>
      <c r="AC166" s="128">
        <f t="shared" si="115"/>
        <v>-206.11147841304472</v>
      </c>
      <c r="AD166" s="134">
        <f t="shared" si="116"/>
        <v>-33.618969217136211</v>
      </c>
      <c r="AE166" s="128">
        <f>EDisponible!BF78</f>
        <v>109257.06508094979</v>
      </c>
      <c r="AF166" s="128">
        <f t="shared" si="117"/>
        <v>1489618.5750329623</v>
      </c>
      <c r="AG166" s="128">
        <f t="shared" si="118"/>
        <v>-223.64062935742908</v>
      </c>
      <c r="AH166" s="134">
        <f t="shared" si="119"/>
        <v>-35.807486099451992</v>
      </c>
    </row>
    <row r="167" spans="1:34">
      <c r="A167" s="125">
        <v>315</v>
      </c>
      <c r="B167" s="126"/>
      <c r="C167" s="128">
        <f>EDisponible!P79</f>
        <v>247175.49430466082</v>
      </c>
      <c r="D167" s="128">
        <f t="shared" si="96"/>
        <v>1070692.5094239709</v>
      </c>
      <c r="E167" s="128">
        <f t="shared" si="97"/>
        <v>-135.57490275321481</v>
      </c>
      <c r="F167" s="134">
        <f t="shared" si="98"/>
        <v>-23.28687559458152</v>
      </c>
      <c r="G167" s="128">
        <f>EDisponible!V79</f>
        <v>236136.39077031068</v>
      </c>
      <c r="H167" s="128">
        <f t="shared" si="99"/>
        <v>1181209.7034879387</v>
      </c>
      <c r="I167" s="128">
        <f t="shared" si="100"/>
        <v>-155.58661219378439</v>
      </c>
      <c r="J167" s="134">
        <f t="shared" si="101"/>
        <v>-26.285952279381362</v>
      </c>
      <c r="K167" s="128">
        <f>EDisponible!AB79</f>
        <v>221268.49519557614</v>
      </c>
      <c r="L167" s="128">
        <f t="shared" si="102"/>
        <v>1296609.6764165461</v>
      </c>
      <c r="M167" s="128">
        <f t="shared" si="103"/>
        <v>-177.03250011104913</v>
      </c>
      <c r="N167" s="134">
        <f t="shared" si="104"/>
        <v>-29.336332291618028</v>
      </c>
      <c r="O167" s="128">
        <f>EDisponible!AH79</f>
        <v>203845.09826009371</v>
      </c>
      <c r="P167" s="128">
        <f t="shared" si="105"/>
        <v>1412760.5615379165</v>
      </c>
      <c r="Q167" s="128">
        <f t="shared" si="106"/>
        <v>-199.02272006729942</v>
      </c>
      <c r="R167" s="134">
        <f t="shared" si="107"/>
        <v>-32.285440877713249</v>
      </c>
      <c r="S167" s="128">
        <f>EDisponible!AN79</f>
        <v>184921.73801343027</v>
      </c>
      <c r="T167" s="128">
        <f t="shared" si="108"/>
        <v>1525682.7625271725</v>
      </c>
      <c r="U167" s="128">
        <f t="shared" si="109"/>
        <v>-220.72834219146782</v>
      </c>
      <c r="V167" s="134">
        <f t="shared" si="110"/>
        <v>-35.019885520481111</v>
      </c>
      <c r="W167" s="128">
        <f>EDisponible!AT79</f>
        <v>165359.44330506778</v>
      </c>
      <c r="X167" s="128">
        <f t="shared" si="111"/>
        <v>1631642.9840808809</v>
      </c>
      <c r="Y167" s="128">
        <f t="shared" si="112"/>
        <v>-241.39300682271841</v>
      </c>
      <c r="Z167" s="134">
        <f t="shared" si="113"/>
        <v>-37.463920713072959</v>
      </c>
      <c r="AA167" s="128">
        <f>EDisponible!AZ79</f>
        <v>136625.27332358493</v>
      </c>
      <c r="AB167" s="128">
        <f t="shared" si="114"/>
        <v>1727243.3911586376</v>
      </c>
      <c r="AC167" s="128">
        <f t="shared" si="115"/>
        <v>-261.86210203774124</v>
      </c>
      <c r="AD167" s="134">
        <f t="shared" si="116"/>
        <v>-39.737027241747789</v>
      </c>
      <c r="AE167" s="128">
        <f>EDisponible!BF79</f>
        <v>110593.71147780943</v>
      </c>
      <c r="AF167" s="128">
        <f t="shared" si="117"/>
        <v>1809508.657979267</v>
      </c>
      <c r="AG167" s="128">
        <f t="shared" si="118"/>
        <v>-279.69091643425037</v>
      </c>
      <c r="AH167" s="134">
        <f t="shared" si="119"/>
        <v>-41.6021185815666</v>
      </c>
    </row>
    <row r="168" spans="1:34">
      <c r="A168" s="125">
        <v>320</v>
      </c>
      <c r="B168" s="126"/>
      <c r="C168" s="128">
        <f>EDisponible!P80</f>
        <v>243788.86388028748</v>
      </c>
      <c r="D168" s="128">
        <f t="shared" si="96"/>
        <v>1378481.433455704</v>
      </c>
      <c r="E168" s="128">
        <f t="shared" si="97"/>
        <v>-189.76860289834224</v>
      </c>
      <c r="F168" s="134">
        <f t="shared" si="98"/>
        <v>-30.66908044589945</v>
      </c>
      <c r="G168" s="128">
        <f>EDisponible!V80</f>
        <v>233641.47521738583</v>
      </c>
      <c r="H168" s="128">
        <f t="shared" si="99"/>
        <v>1509451.3718376569</v>
      </c>
      <c r="I168" s="128">
        <f t="shared" si="100"/>
        <v>-213.36939020945593</v>
      </c>
      <c r="J168" s="134">
        <f t="shared" si="101"/>
        <v>-33.694536803501769</v>
      </c>
      <c r="K168" s="128">
        <f>EDisponible!AB80</f>
        <v>219503.32709780298</v>
      </c>
      <c r="L168" s="128">
        <f t="shared" si="102"/>
        <v>1641641.8442219994</v>
      </c>
      <c r="M168" s="128">
        <f t="shared" si="103"/>
        <v>-237.84172626032318</v>
      </c>
      <c r="N168" s="134">
        <f t="shared" si="104"/>
        <v>-36.621775967501975</v>
      </c>
      <c r="O168" s="128">
        <f>EDisponible!AH80</f>
        <v>202668.53895053599</v>
      </c>
      <c r="P168" s="128">
        <f t="shared" si="105"/>
        <v>1770721.0214079986</v>
      </c>
      <c r="Q168" s="128">
        <f t="shared" si="106"/>
        <v>-262.24471442390319</v>
      </c>
      <c r="R168" s="134">
        <f t="shared" si="107"/>
        <v>-39.335123595149831</v>
      </c>
      <c r="S168" s="128">
        <f>EDisponible!AN80</f>
        <v>184211.75605600036</v>
      </c>
      <c r="T168" s="128">
        <f t="shared" si="108"/>
        <v>1892589.9595964141</v>
      </c>
      <c r="U168" s="128">
        <f t="shared" si="109"/>
        <v>-285.71311172783402</v>
      </c>
      <c r="V168" s="134">
        <f t="shared" si="110"/>
        <v>-41.760182742755831</v>
      </c>
      <c r="W168" s="128">
        <f>EDisponible!AT80</f>
        <v>165011.45489078524</v>
      </c>
      <c r="X168" s="128">
        <f t="shared" si="111"/>
        <v>2003469.6255694947</v>
      </c>
      <c r="Y168" s="128">
        <f t="shared" si="112"/>
        <v>-307.46798550667035</v>
      </c>
      <c r="Z168" s="134">
        <f t="shared" si="113"/>
        <v>-43.8558203675424</v>
      </c>
      <c r="AA168" s="128">
        <f>EDisponible!AZ80</f>
        <v>138250.59756770747</v>
      </c>
      <c r="AB168" s="128">
        <f t="shared" si="114"/>
        <v>2099983.9015334579</v>
      </c>
      <c r="AC168" s="128">
        <f t="shared" si="115"/>
        <v>-328.08480317450983</v>
      </c>
      <c r="AD168" s="134">
        <f t="shared" si="116"/>
        <v>-45.714722935169654</v>
      </c>
      <c r="AE168" s="128">
        <f>EDisponible!BF80</f>
        <v>111969.274049738</v>
      </c>
      <c r="AF168" s="128">
        <f t="shared" si="117"/>
        <v>2179240.9730915311</v>
      </c>
      <c r="AG168" s="128">
        <f t="shared" si="118"/>
        <v>-345.73528782799451</v>
      </c>
      <c r="AH168" s="134">
        <f t="shared" si="119"/>
        <v>-47.213777116625501</v>
      </c>
    </row>
    <row r="169" spans="1:34">
      <c r="A169" s="125">
        <v>325</v>
      </c>
      <c r="B169" s="126"/>
      <c r="C169" s="128">
        <f>EDisponible!P81</f>
        <v>240257.0698028811</v>
      </c>
      <c r="D169" s="128">
        <f t="shared" si="96"/>
        <v>1757393.1124121386</v>
      </c>
      <c r="E169" s="128">
        <f t="shared" si="97"/>
        <v>-257.69385237297297</v>
      </c>
      <c r="F169" s="134">
        <f t="shared" si="98"/>
        <v>-38.411045321749064</v>
      </c>
      <c r="G169" s="128">
        <f>EDisponible!V81</f>
        <v>231030.71933867698</v>
      </c>
      <c r="H169" s="128">
        <f t="shared" si="99"/>
        <v>1907709.5290562385</v>
      </c>
      <c r="I169" s="128">
        <f t="shared" si="100"/>
        <v>-284.79306372891313</v>
      </c>
      <c r="J169" s="134">
        <f t="shared" si="101"/>
        <v>-41.227641529673583</v>
      </c>
      <c r="K169" s="128">
        <f>EDisponible!AB81</f>
        <v>217647.02565276122</v>
      </c>
      <c r="L169" s="128">
        <f t="shared" si="102"/>
        <v>2055062.1752780459</v>
      </c>
      <c r="M169" s="128">
        <f t="shared" si="103"/>
        <v>-312.09500995116156</v>
      </c>
      <c r="N169" s="134">
        <f t="shared" si="104"/>
        <v>-43.839575964242414</v>
      </c>
      <c r="O169" s="128">
        <f>EDisponible!AH81</f>
        <v>201421.48906970941</v>
      </c>
      <c r="P169" s="128">
        <f t="shared" si="105"/>
        <v>2194983.0236307406</v>
      </c>
      <c r="Q169" s="128">
        <f t="shared" si="106"/>
        <v>-338.61732722404247</v>
      </c>
      <c r="R169" s="134">
        <f t="shared" si="107"/>
        <v>-46.175535759722685</v>
      </c>
      <c r="S169" s="128">
        <f>EDisponible!AN81</f>
        <v>183448.36729461217</v>
      </c>
      <c r="T169" s="128">
        <f t="shared" si="108"/>
        <v>2323313.6021120669</v>
      </c>
      <c r="U169" s="128">
        <f t="shared" si="109"/>
        <v>-363.46781068540508</v>
      </c>
      <c r="V169" s="134">
        <f t="shared" si="110"/>
        <v>-48.19804906697518</v>
      </c>
      <c r="W169" s="128">
        <f>EDisponible!AT81</f>
        <v>164624.04513171015</v>
      </c>
      <c r="X169" s="128">
        <f t="shared" si="111"/>
        <v>2436285.9058455853</v>
      </c>
      <c r="Y169" s="128">
        <f t="shared" si="112"/>
        <v>-385.85418824360761</v>
      </c>
      <c r="Z169" s="134">
        <f t="shared" si="113"/>
        <v>-49.89299771331185</v>
      </c>
      <c r="AA169" s="128">
        <f>EDisponible!AZ81</f>
        <v>139922.52300673528</v>
      </c>
      <c r="AB169" s="128">
        <f t="shared" si="114"/>
        <v>2530599.8633387526</v>
      </c>
      <c r="AC169" s="128">
        <f t="shared" si="115"/>
        <v>-406.06961822051909</v>
      </c>
      <c r="AD169" s="134">
        <f t="shared" si="116"/>
        <v>-51.327778491534225</v>
      </c>
      <c r="AE169" s="128">
        <f>EDisponible!BF81</f>
        <v>113384.19445535092</v>
      </c>
      <c r="AF169" s="128">
        <f t="shared" si="117"/>
        <v>2603499.4905906613</v>
      </c>
      <c r="AG169" s="128">
        <f t="shared" si="118"/>
        <v>-422.95969872969579</v>
      </c>
      <c r="AH169" s="134">
        <f t="shared" si="119"/>
        <v>-52.461514694199025</v>
      </c>
    </row>
    <row r="170" spans="1:34">
      <c r="A170" s="125">
        <v>330</v>
      </c>
      <c r="B170" s="126"/>
      <c r="C170" s="128">
        <f>EDisponible!P82</f>
        <v>236572.06143471462</v>
      </c>
      <c r="D170" s="128">
        <f t="shared" si="96"/>
        <v>2216331.4835030865</v>
      </c>
      <c r="E170" s="128">
        <f t="shared" si="97"/>
        <v>-341.44639314791681</v>
      </c>
      <c r="F170" s="134">
        <f t="shared" si="98"/>
        <v>-45.976647584886997</v>
      </c>
      <c r="G170" s="128">
        <f>EDisponible!V82</f>
        <v>228297.20080030622</v>
      </c>
      <c r="H170" s="128">
        <f t="shared" si="99"/>
        <v>2384253.568914528</v>
      </c>
      <c r="I170" s="128">
        <f t="shared" si="100"/>
        <v>-371.83483885521343</v>
      </c>
      <c r="J170" s="134">
        <f t="shared" si="101"/>
        <v>-48.411239703514951</v>
      </c>
      <c r="K170" s="128">
        <f>EDisponible!AB82</f>
        <v>215693.67510467014</v>
      </c>
      <c r="L170" s="128">
        <f t="shared" si="102"/>
        <v>2544527.4882061365</v>
      </c>
      <c r="M170" s="128">
        <f t="shared" si="103"/>
        <v>-401.65077476617955</v>
      </c>
      <c r="N170" s="134">
        <f t="shared" si="104"/>
        <v>-50.593157876124515</v>
      </c>
      <c r="O170" s="128">
        <f>EDisponible!AH82</f>
        <v>200098.92651715546</v>
      </c>
      <c r="P170" s="128">
        <f t="shared" si="105"/>
        <v>2692611.6795516643</v>
      </c>
      <c r="Q170" s="128">
        <f t="shared" si="106"/>
        <v>-429.88025712218365</v>
      </c>
      <c r="R170" s="134">
        <f t="shared" si="107"/>
        <v>-52.488150192003694</v>
      </c>
      <c r="S170" s="128">
        <f>EDisponible!AN82</f>
        <v>182627.33889657291</v>
      </c>
      <c r="T170" s="128">
        <f t="shared" si="108"/>
        <v>2824347.5986773674</v>
      </c>
      <c r="U170" s="128">
        <f t="shared" si="109"/>
        <v>-455.61387123772397</v>
      </c>
      <c r="V170" s="134">
        <f t="shared" si="110"/>
        <v>-54.084278756423309</v>
      </c>
      <c r="W170" s="128">
        <f>EDisponible!AT82</f>
        <v>164193.67433160148</v>
      </c>
      <c r="X170" s="128">
        <f t="shared" si="111"/>
        <v>2936035.1525390656</v>
      </c>
      <c r="Y170" s="128">
        <f t="shared" si="112"/>
        <v>-478.05569937529674</v>
      </c>
      <c r="Z170" s="134">
        <f t="shared" si="113"/>
        <v>-55.382831496602364</v>
      </c>
      <c r="AA170" s="128">
        <f>EDisponible!AZ82</f>
        <v>141641.56398693623</v>
      </c>
      <c r="AB170" s="128">
        <f t="shared" si="114"/>
        <v>3024505.0692092348</v>
      </c>
      <c r="AC170" s="128">
        <f t="shared" si="115"/>
        <v>-497.2035161562776</v>
      </c>
      <c r="AD170" s="134">
        <f t="shared" si="116"/>
        <v>-56.427288283953175</v>
      </c>
      <c r="AE170" s="128">
        <f>EDisponible!BF82</f>
        <v>114838.92584906587</v>
      </c>
      <c r="AF170" s="128">
        <f t="shared" si="117"/>
        <v>3087190.1241338435</v>
      </c>
      <c r="AG170" s="128">
        <f t="shared" si="118"/>
        <v>-512.63733588543869</v>
      </c>
      <c r="AH170" s="134">
        <f t="shared" si="119"/>
        <v>-57.229403457340325</v>
      </c>
    </row>
    <row r="171" spans="1:34">
      <c r="A171" s="125">
        <v>335</v>
      </c>
      <c r="B171" s="126"/>
      <c r="C171" s="128">
        <f>EDisponible!P83</f>
        <v>232725.52198947591</v>
      </c>
      <c r="D171" s="128">
        <f t="shared" si="96"/>
        <v>2764651.2225583997</v>
      </c>
      <c r="E171" s="128">
        <f t="shared" si="97"/>
        <v>-443.29408375405325</v>
      </c>
      <c r="F171" s="134">
        <f t="shared" si="98"/>
        <v>-52.921439667538351</v>
      </c>
      <c r="G171" s="128">
        <f>EDisponible!V83</f>
        <v>225433.76357116643</v>
      </c>
      <c r="H171" s="128">
        <f t="shared" si="99"/>
        <v>2947768.7151532089</v>
      </c>
      <c r="I171" s="128">
        <f t="shared" si="100"/>
        <v>-476.63127625033769</v>
      </c>
      <c r="J171" s="134">
        <f t="shared" si="101"/>
        <v>-54.898557412461997</v>
      </c>
      <c r="K171" s="128">
        <f>EDisponible!AB83</f>
        <v>213637.15528581769</v>
      </c>
      <c r="L171" s="128">
        <f t="shared" si="102"/>
        <v>3118075.6890936708</v>
      </c>
      <c r="M171" s="128">
        <f t="shared" si="103"/>
        <v>-508.51429738835236</v>
      </c>
      <c r="N171" s="134">
        <f t="shared" si="104"/>
        <v>-56.623832430754511</v>
      </c>
      <c r="O171" s="128">
        <f>EDisponible!AH83</f>
        <v>198695.65113160346</v>
      </c>
      <c r="P171" s="128">
        <f t="shared" si="105"/>
        <v>3271019.2518143174</v>
      </c>
      <c r="Q171" s="128">
        <f t="shared" si="106"/>
        <v>-537.90791540785301</v>
      </c>
      <c r="R171" s="134">
        <f t="shared" si="107"/>
        <v>-58.086044186331939</v>
      </c>
      <c r="S171" s="128">
        <f>EDisponible!AN83</f>
        <v>181744.28360553074</v>
      </c>
      <c r="T171" s="128">
        <f t="shared" si="108"/>
        <v>3402500.294324765</v>
      </c>
      <c r="U171" s="128">
        <f t="shared" si="109"/>
        <v>-563.89572744821419</v>
      </c>
      <c r="V171" s="134">
        <f t="shared" si="110"/>
        <v>-59.286238079904763</v>
      </c>
      <c r="W171" s="128">
        <f>EDisponible!AT83</f>
        <v>163716.66950262233</v>
      </c>
      <c r="X171" s="128">
        <f t="shared" si="111"/>
        <v>3508943.9043044965</v>
      </c>
      <c r="Y171" s="128">
        <f t="shared" si="112"/>
        <v>-585.68837216170675</v>
      </c>
      <c r="Z171" s="134">
        <f t="shared" si="113"/>
        <v>-60.231456956005005</v>
      </c>
      <c r="AA171" s="128">
        <f>EDisponible!AZ83</f>
        <v>143408.24830966018</v>
      </c>
      <c r="AB171" s="128">
        <f t="shared" si="114"/>
        <v>3587366.9570868625</v>
      </c>
      <c r="AC171" s="128">
        <f t="shared" si="115"/>
        <v>-602.9744553527521</v>
      </c>
      <c r="AD171" s="134">
        <f t="shared" si="116"/>
        <v>-60.944365453262591</v>
      </c>
      <c r="AE171" s="128">
        <f>EDisponible!BF83</f>
        <v>116333.93240260218</v>
      </c>
      <c r="AF171" s="128">
        <f t="shared" si="117"/>
        <v>3635444.6301970831</v>
      </c>
      <c r="AG171" s="128">
        <f t="shared" si="118"/>
        <v>-616.13220011051624</v>
      </c>
      <c r="AH171" s="134">
        <f t="shared" si="119"/>
        <v>-61.466434074110921</v>
      </c>
    </row>
    <row r="172" spans="1:34">
      <c r="A172" s="125">
        <v>340</v>
      </c>
      <c r="B172" s="126"/>
      <c r="C172" s="128">
        <f>EDisponible!P84</f>
        <v>228708.8586922203</v>
      </c>
      <c r="D172" s="128">
        <f t="shared" si="96"/>
        <v>3412170.5152875851</v>
      </c>
      <c r="E172" s="128">
        <f t="shared" si="97"/>
        <v>-565.68506315967068</v>
      </c>
      <c r="F172" s="134">
        <f t="shared" si="98"/>
        <v>-58.992400813453102</v>
      </c>
      <c r="G172" s="128">
        <f>EDisponible!V84</f>
        <v>222433.00904799977</v>
      </c>
      <c r="H172" s="128">
        <f t="shared" si="99"/>
        <v>3607366.4103389806</v>
      </c>
      <c r="I172" s="128">
        <f t="shared" si="100"/>
        <v>-601.48557496634226</v>
      </c>
      <c r="J172" s="134">
        <f t="shared" si="101"/>
        <v>-60.521953007117204</v>
      </c>
      <c r="K172" s="128">
        <f>EDisponible!AB84</f>
        <v>211471.13364120925</v>
      </c>
      <c r="L172" s="128">
        <f t="shared" si="102"/>
        <v>3784134.3736773315</v>
      </c>
      <c r="M172" s="128">
        <f t="shared" si="103"/>
        <v>-634.84421946814973</v>
      </c>
      <c r="N172" s="134">
        <f t="shared" si="104"/>
        <v>-61.828080540749156</v>
      </c>
      <c r="O172" s="128">
        <f>EDisponible!AH84</f>
        <v>197206.27755167973</v>
      </c>
      <c r="P172" s="128">
        <f t="shared" si="105"/>
        <v>3937972.3717387561</v>
      </c>
      <c r="Q172" s="128">
        <f t="shared" si="106"/>
        <v>-664.7152479037187</v>
      </c>
      <c r="R172" s="134">
        <f t="shared" si="107"/>
        <v>-62.910382320083471</v>
      </c>
      <c r="S172" s="128">
        <f>EDisponible!AN84</f>
        <v>180794.65337684896</v>
      </c>
      <c r="T172" s="128">
        <f t="shared" si="108"/>
        <v>4064900.5825645695</v>
      </c>
      <c r="U172" s="128">
        <f t="shared" si="109"/>
        <v>-690.18601286413445</v>
      </c>
      <c r="V172" s="134">
        <f t="shared" si="110"/>
        <v>-63.77418284837303</v>
      </c>
      <c r="W172" s="128">
        <f>EDisponible!AT84</f>
        <v>163189.218716159</v>
      </c>
      <c r="X172" s="128">
        <f t="shared" si="111"/>
        <v>4161527.1179185649</v>
      </c>
      <c r="Y172" s="128">
        <f t="shared" si="112"/>
        <v>-710.48445718141875</v>
      </c>
      <c r="Z172" s="134">
        <f t="shared" si="113"/>
        <v>-64.426707552611532</v>
      </c>
      <c r="AA172" s="128">
        <f>EDisponible!AZ84</f>
        <v>145161.89777336488</v>
      </c>
      <c r="AB172" s="128">
        <f t="shared" si="114"/>
        <v>4225111.0605198266</v>
      </c>
      <c r="AC172" s="128">
        <f t="shared" si="115"/>
        <v>-724.98636665999368</v>
      </c>
      <c r="AD172" s="134">
        <f t="shared" si="116"/>
        <v>-64.874627994284936</v>
      </c>
      <c r="AE172" s="128">
        <f>EDisponible!BF84</f>
        <v>117869.68882848472</v>
      </c>
      <c r="AF172" s="128">
        <f t="shared" si="117"/>
        <v>4253624.4145173207</v>
      </c>
      <c r="AG172" s="128">
        <f t="shared" si="118"/>
        <v>-734.90273343397882</v>
      </c>
      <c r="AH172" s="134">
        <f t="shared" si="119"/>
        <v>-65.172555718770994</v>
      </c>
    </row>
    <row r="173" spans="1:34">
      <c r="A173" s="41"/>
      <c r="E173" s="123"/>
      <c r="I173" s="65"/>
      <c r="J173" s="65"/>
    </row>
    <row r="174" spans="1:34">
      <c r="A174" s="41"/>
      <c r="E174" s="123"/>
      <c r="I174" s="65"/>
      <c r="J174" s="65"/>
    </row>
    <row r="175" spans="1:34">
      <c r="A175" s="41"/>
      <c r="I175" s="65"/>
      <c r="J175" s="65"/>
    </row>
    <row r="176" spans="1:34">
      <c r="A176" s="41"/>
      <c r="C176" t="s">
        <v>161</v>
      </c>
      <c r="I176" s="65"/>
      <c r="J176" s="65"/>
    </row>
    <row r="177" spans="1:10">
      <c r="A177" s="41"/>
      <c r="C177" t="s">
        <v>162</v>
      </c>
      <c r="I177" s="65"/>
      <c r="J177" s="65"/>
    </row>
    <row r="178" spans="1:10">
      <c r="A178" s="41"/>
      <c r="I178" s="65"/>
      <c r="J178" s="65"/>
    </row>
    <row r="179" spans="1:10">
      <c r="A179" s="41"/>
      <c r="I179" s="65"/>
      <c r="J179" s="65"/>
    </row>
    <row r="180" spans="1:10">
      <c r="A180" s="41"/>
      <c r="I180" s="65"/>
      <c r="J180" s="65"/>
    </row>
    <row r="181" spans="1:10">
      <c r="A181" s="41"/>
      <c r="I181" s="65"/>
      <c r="J181" s="65"/>
    </row>
    <row r="182" spans="1:10">
      <c r="A182" s="41"/>
      <c r="I182" s="65"/>
      <c r="J182" s="65"/>
    </row>
    <row r="183" spans="1:10">
      <c r="A183" s="41"/>
      <c r="I183" s="65"/>
      <c r="J183" s="65"/>
    </row>
    <row r="184" spans="1:10">
      <c r="A184" s="41"/>
      <c r="I184" s="65"/>
      <c r="J184" s="65"/>
    </row>
    <row r="185" spans="1:10">
      <c r="A185" s="41"/>
      <c r="I185" s="65"/>
      <c r="J185" s="65"/>
    </row>
  </sheetData>
  <pageMargins left="0.7" right="0.7" top="0.75" bottom="0.75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72"/>
  <sheetViews>
    <sheetView topLeftCell="A57" zoomScale="40" zoomScaleNormal="40" workbookViewId="0">
      <selection activeCell="R106" sqref="R106"/>
    </sheetView>
  </sheetViews>
  <sheetFormatPr baseColWidth="10" defaultRowHeight="15"/>
  <cols>
    <col min="13" max="13" width="13.5703125" bestFit="1" customWidth="1"/>
    <col min="25" max="25" width="13.5703125" bestFit="1" customWidth="1"/>
    <col min="34" max="34" width="13.5703125" bestFit="1" customWidth="1"/>
  </cols>
  <sheetData>
    <row r="1" spans="1:66">
      <c r="A1" s="68" t="s">
        <v>133</v>
      </c>
      <c r="B1" s="116"/>
      <c r="C1" s="116"/>
      <c r="D1" s="116"/>
      <c r="E1" s="116"/>
      <c r="F1" s="116"/>
      <c r="G1" s="116"/>
      <c r="H1" s="116"/>
      <c r="I1" s="116"/>
      <c r="J1" s="11" t="s">
        <v>66</v>
      </c>
      <c r="K1" s="116">
        <f>POLAR!B10</f>
        <v>1.3125598034927405E-2</v>
      </c>
      <c r="L1" s="68" t="s">
        <v>93</v>
      </c>
      <c r="M1" s="116">
        <f>POLAR!I3</f>
        <v>37.56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</row>
    <row r="2" spans="1:66">
      <c r="A2" s="116"/>
      <c r="B2" s="116"/>
      <c r="C2" s="116"/>
      <c r="D2" s="116"/>
      <c r="E2" s="116"/>
      <c r="F2" s="116"/>
      <c r="G2" s="116"/>
      <c r="H2" s="116"/>
      <c r="I2" s="116"/>
      <c r="J2" s="45" t="s">
        <v>71</v>
      </c>
      <c r="K2" s="45">
        <f>1/(PI()*DATOS!B$6*DATOS!J$18)</f>
        <v>6.2805409961308373E-2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</row>
    <row r="3" spans="1:66">
      <c r="A3" s="116"/>
      <c r="B3" s="116"/>
      <c r="C3" s="116"/>
      <c r="D3" s="116"/>
      <c r="E3" s="116"/>
      <c r="F3" s="116"/>
      <c r="G3" s="116"/>
      <c r="H3" s="116"/>
      <c r="I3" s="116"/>
      <c r="J3" s="45" t="s">
        <v>77</v>
      </c>
      <c r="K3" s="116">
        <f>DATOS!B5</f>
        <v>358.7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</row>
    <row r="4" spans="1:66">
      <c r="A4" s="73" t="s">
        <v>132</v>
      </c>
      <c r="B4" s="43"/>
      <c r="C4" s="43">
        <f>DATOS!M13*9.81</f>
        <v>1689939.27</v>
      </c>
      <c r="D4" s="7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</row>
    <row r="5" spans="1:66">
      <c r="A5" s="44"/>
      <c r="B5" s="44"/>
      <c r="C5" s="44" t="s">
        <v>64</v>
      </c>
      <c r="D5" s="44" t="s">
        <v>65</v>
      </c>
      <c r="E5" s="74">
        <f>DATOS!B24</f>
        <v>1.2307834756847218</v>
      </c>
      <c r="F5" s="44"/>
      <c r="G5" s="68" t="s">
        <v>130</v>
      </c>
      <c r="H5" s="116"/>
      <c r="I5" s="116"/>
      <c r="J5" s="116"/>
      <c r="K5" s="44" t="s">
        <v>78</v>
      </c>
      <c r="L5" s="44" t="s">
        <v>65</v>
      </c>
      <c r="M5" s="74">
        <f>DATOS!C24</f>
        <v>1.0632293336293623</v>
      </c>
      <c r="N5" s="44"/>
      <c r="O5" s="68" t="s">
        <v>130</v>
      </c>
      <c r="P5" s="116"/>
      <c r="Q5" s="116"/>
      <c r="R5" s="116"/>
      <c r="S5" s="47" t="s">
        <v>80</v>
      </c>
      <c r="T5" s="44" t="s">
        <v>65</v>
      </c>
      <c r="U5" s="74">
        <f>DATOS!D24</f>
        <v>0.91371108984015903</v>
      </c>
      <c r="V5" s="44"/>
      <c r="W5" s="68" t="s">
        <v>130</v>
      </c>
      <c r="X5" s="116"/>
      <c r="Y5" s="116"/>
      <c r="Z5" s="116"/>
      <c r="AA5" s="47" t="s">
        <v>82</v>
      </c>
      <c r="AB5" s="47" t="s">
        <v>65</v>
      </c>
      <c r="AC5" s="75">
        <f>DATOS!E24</f>
        <v>0.78083687721425932</v>
      </c>
      <c r="AD5" s="47"/>
      <c r="AE5" s="68" t="s">
        <v>130</v>
      </c>
      <c r="AF5" s="116"/>
      <c r="AG5" s="116"/>
      <c r="AH5" s="116"/>
      <c r="AI5" s="44" t="s">
        <v>83</v>
      </c>
      <c r="AJ5" s="44" t="s">
        <v>65</v>
      </c>
      <c r="AK5" s="74">
        <f>DATOS!F24</f>
        <v>0.66327678178020855</v>
      </c>
      <c r="AL5" s="44"/>
      <c r="AM5" s="68" t="s">
        <v>130</v>
      </c>
      <c r="AN5" s="116"/>
      <c r="AO5" s="116"/>
      <c r="AP5" s="116"/>
      <c r="AQ5" s="44" t="s">
        <v>84</v>
      </c>
      <c r="AR5" s="44" t="s">
        <v>65</v>
      </c>
      <c r="AS5" s="74">
        <f>DATOS!G24</f>
        <v>0.55976225964731741</v>
      </c>
      <c r="AT5" s="44"/>
      <c r="AU5" s="68" t="s">
        <v>130</v>
      </c>
      <c r="AV5" s="116"/>
      <c r="AW5" s="116"/>
      <c r="AX5" s="116"/>
      <c r="AY5" s="44" t="s">
        <v>85</v>
      </c>
      <c r="AZ5" s="44" t="s">
        <v>65</v>
      </c>
      <c r="BA5" s="74">
        <f>DATOS!H24</f>
        <v>0.46908553738870118</v>
      </c>
      <c r="BB5" s="44"/>
      <c r="BC5" s="68" t="s">
        <v>130</v>
      </c>
      <c r="BD5" s="116"/>
      <c r="BE5" s="116"/>
      <c r="BF5" s="116"/>
      <c r="BG5" s="44" t="s">
        <v>86</v>
      </c>
      <c r="BH5" s="44" t="s">
        <v>65</v>
      </c>
      <c r="BI5" s="74">
        <f>DATOS!I24</f>
        <v>0.39009899471001425</v>
      </c>
      <c r="BJ5" s="44"/>
      <c r="BK5" s="68" t="s">
        <v>130</v>
      </c>
      <c r="BL5" s="116"/>
      <c r="BM5" s="116"/>
      <c r="BN5" s="116"/>
    </row>
    <row r="6" spans="1:66">
      <c r="A6" s="116" t="s">
        <v>52</v>
      </c>
      <c r="B6" s="44"/>
      <c r="C6" s="45" t="s">
        <v>67</v>
      </c>
      <c r="D6" s="116" t="s">
        <v>68</v>
      </c>
      <c r="E6" s="45" t="s">
        <v>69</v>
      </c>
      <c r="F6" s="70" t="s">
        <v>128</v>
      </c>
      <c r="G6" s="71" t="s">
        <v>129</v>
      </c>
      <c r="H6" s="68" t="s">
        <v>127</v>
      </c>
      <c r="I6" s="116" t="s">
        <v>124</v>
      </c>
      <c r="J6" s="68" t="s">
        <v>131</v>
      </c>
      <c r="K6" s="45" t="s">
        <v>67</v>
      </c>
      <c r="L6" s="116" t="s">
        <v>68</v>
      </c>
      <c r="M6" s="45" t="s">
        <v>69</v>
      </c>
      <c r="N6" s="11" t="s">
        <v>70</v>
      </c>
      <c r="O6" s="71" t="s">
        <v>129</v>
      </c>
      <c r="P6" s="68" t="s">
        <v>127</v>
      </c>
      <c r="Q6" s="116" t="s">
        <v>124</v>
      </c>
      <c r="R6" s="68" t="s">
        <v>131</v>
      </c>
      <c r="S6" s="45" t="s">
        <v>67</v>
      </c>
      <c r="T6" s="116" t="s">
        <v>68</v>
      </c>
      <c r="U6" s="45" t="s">
        <v>69</v>
      </c>
      <c r="V6" s="11" t="s">
        <v>70</v>
      </c>
      <c r="W6" s="71" t="s">
        <v>129</v>
      </c>
      <c r="X6" s="68" t="s">
        <v>127</v>
      </c>
      <c r="Y6" s="116" t="s">
        <v>124</v>
      </c>
      <c r="Z6" s="68" t="s">
        <v>131</v>
      </c>
      <c r="AA6" s="45" t="s">
        <v>67</v>
      </c>
      <c r="AB6" s="116" t="s">
        <v>68</v>
      </c>
      <c r="AC6" s="45" t="s">
        <v>69</v>
      </c>
      <c r="AD6" s="11" t="s">
        <v>70</v>
      </c>
      <c r="AE6" s="71" t="s">
        <v>129</v>
      </c>
      <c r="AF6" s="68" t="s">
        <v>127</v>
      </c>
      <c r="AG6" s="116" t="s">
        <v>124</v>
      </c>
      <c r="AH6" s="68" t="s">
        <v>131</v>
      </c>
      <c r="AI6" s="45" t="s">
        <v>67</v>
      </c>
      <c r="AJ6" s="116" t="s">
        <v>68</v>
      </c>
      <c r="AK6" s="45" t="s">
        <v>69</v>
      </c>
      <c r="AL6" s="11" t="s">
        <v>70</v>
      </c>
      <c r="AM6" s="71" t="s">
        <v>129</v>
      </c>
      <c r="AN6" s="68" t="s">
        <v>127</v>
      </c>
      <c r="AO6" s="116" t="s">
        <v>124</v>
      </c>
      <c r="AP6" s="68" t="s">
        <v>131</v>
      </c>
      <c r="AQ6" s="45" t="s">
        <v>67</v>
      </c>
      <c r="AR6" s="116" t="s">
        <v>68</v>
      </c>
      <c r="AS6" s="45" t="s">
        <v>69</v>
      </c>
      <c r="AT6" s="11" t="s">
        <v>70</v>
      </c>
      <c r="AU6" s="71" t="s">
        <v>129</v>
      </c>
      <c r="AV6" s="68" t="s">
        <v>127</v>
      </c>
      <c r="AW6" s="116" t="s">
        <v>124</v>
      </c>
      <c r="AX6" s="68" t="s">
        <v>131</v>
      </c>
      <c r="AY6" s="45" t="s">
        <v>67</v>
      </c>
      <c r="AZ6" s="116" t="s">
        <v>68</v>
      </c>
      <c r="BA6" s="45" t="s">
        <v>69</v>
      </c>
      <c r="BB6" s="11" t="s">
        <v>70</v>
      </c>
      <c r="BC6" s="71" t="s">
        <v>129</v>
      </c>
      <c r="BD6" s="68" t="s">
        <v>127</v>
      </c>
      <c r="BE6" s="116" t="s">
        <v>124</v>
      </c>
      <c r="BF6" s="68" t="s">
        <v>131</v>
      </c>
      <c r="BG6" s="45" t="s">
        <v>67</v>
      </c>
      <c r="BH6" s="116" t="s">
        <v>68</v>
      </c>
      <c r="BI6" s="45" t="s">
        <v>69</v>
      </c>
      <c r="BJ6" s="11" t="s">
        <v>70</v>
      </c>
      <c r="BK6" s="71" t="s">
        <v>129</v>
      </c>
      <c r="BL6" s="68" t="s">
        <v>127</v>
      </c>
      <c r="BM6" s="116" t="s">
        <v>124</v>
      </c>
      <c r="BN6" s="68" t="s">
        <v>131</v>
      </c>
    </row>
    <row r="7" spans="1:66">
      <c r="A7" s="41">
        <f>EDisponible!A20</f>
        <v>20</v>
      </c>
      <c r="B7" s="44"/>
      <c r="C7" s="116">
        <f t="shared" ref="C7:C70" si="0">E$5*A7^2*K$3</f>
        <v>176592.81309124388</v>
      </c>
      <c r="D7" s="116">
        <f t="shared" ref="D7:D70" si="1">2*C$4/C7</f>
        <v>19.139388975323971</v>
      </c>
      <c r="E7" s="116">
        <f t="shared" ref="E7:E70" si="2">K$1+D7^(2)*K$2</f>
        <v>23.019765364461218</v>
      </c>
      <c r="F7" s="116">
        <f t="shared" ref="F7:F70" si="3">0.5*C7*E7</f>
        <v>2032562.5612052947</v>
      </c>
      <c r="G7" s="116">
        <f>EDisponible!B20</f>
        <v>5.8564218430171157E-2</v>
      </c>
      <c r="H7" s="116">
        <f>G7-0.8</f>
        <v>-0.74143578156982892</v>
      </c>
      <c r="I7" s="116">
        <f>IF(H7&lt;0, 0, 0.00035*(10*H7/((1/COS(M$1))-0.8))^(3/(1+1/(DATOS!E$6))))</f>
        <v>0</v>
      </c>
      <c r="J7" s="116">
        <f>0.5*C7*(E7+I7)</f>
        <v>2032562.5612052947</v>
      </c>
      <c r="K7" s="116">
        <f>M$5*A7^2*K$3</f>
        <v>152552.1447891409</v>
      </c>
      <c r="L7" s="116">
        <f t="shared" ref="L7:L70" si="4">2*C$4/K7</f>
        <v>22.155562248382033</v>
      </c>
      <c r="M7" s="116">
        <f t="shared" ref="M7:M70" si="5">K$1+L7^(2)*K$2</f>
        <v>30.842350520433197</v>
      </c>
      <c r="N7" s="116">
        <f t="shared" ref="N7:N70" si="6">0.5*K7*M7</f>
        <v>2352533.3611152801</v>
      </c>
      <c r="O7" s="116">
        <f>EDisponible!C20</f>
        <v>5.9580898504096855E-2</v>
      </c>
      <c r="P7" s="116">
        <f>O7-0.8</f>
        <v>-0.74041910149590318</v>
      </c>
      <c r="Q7" s="116">
        <f>IF(P7&lt;0, 0, 0.00035*(10*P7/((1/COS(M$1))-0.8))^(3/(1+1/(DATOS!E$6))))</f>
        <v>0</v>
      </c>
      <c r="R7" s="116">
        <f>0.5*K7*(M7+Q7)</f>
        <v>2352533.3611152801</v>
      </c>
      <c r="S7" s="116">
        <f>U$5*A7^2*K$3</f>
        <v>131099.26717026602</v>
      </c>
      <c r="T7" s="116">
        <f t="shared" ref="T7:T70" si="7">2*C$4/S7</f>
        <v>25.781063563157534</v>
      </c>
      <c r="U7" s="116">
        <f t="shared" ref="U7:U70" si="8">K$1+T7^(2)*K$2</f>
        <v>41.757572774945359</v>
      </c>
      <c r="V7" s="116">
        <f t="shared" ref="V7:V70" si="9">0.5*S7*U7</f>
        <v>2737193.5948021938</v>
      </c>
      <c r="W7" s="116">
        <f>EDisponible!D20</f>
        <v>6.0652435028524965E-2</v>
      </c>
      <c r="X7" s="116">
        <f>W7-0.8</f>
        <v>-0.73934756497147514</v>
      </c>
      <c r="Y7" s="116">
        <f>IF(X7&lt;0, 0, 0.00035*(10*X7/((1/COS(M$1))-0.8))^(3/(1+1/(DATOS!E$6))))</f>
        <v>0</v>
      </c>
      <c r="Z7" s="116">
        <f>0.5*S7*(U7+Y7)</f>
        <v>2737193.5948021938</v>
      </c>
      <c r="AA7" s="116">
        <f>AC$5*A7^2*K$3</f>
        <v>112034.47514270192</v>
      </c>
      <c r="AB7" s="116">
        <f t="shared" ref="AB7:AB70" si="10">2*C$4/AA7</f>
        <v>30.168200776546147</v>
      </c>
      <c r="AC7" s="116">
        <f t="shared" ref="AC7:AC70" si="11">K$1+AB7^(2)*K$2</f>
        <v>57.173606546153145</v>
      </c>
      <c r="AD7" s="116">
        <f>0.5*AA7*AC7</f>
        <v>3202707.5007068072</v>
      </c>
      <c r="AE7" s="116">
        <f>EDisponible!E20</f>
        <v>6.1783945468758733E-2</v>
      </c>
      <c r="AF7" s="116">
        <f>AE7-0.8</f>
        <v>-0.73821605453124128</v>
      </c>
      <c r="AG7" s="116">
        <f>IF(AF7&lt;0, 0, 0.00035*(10*AF7/((1/COS(M$1))-0.8))^(3/(1+1/(DATOS!E$6))))</f>
        <v>0</v>
      </c>
      <c r="AH7" s="116">
        <f>0.5*AA7*(AC7+AG7)</f>
        <v>3202707.5007068072</v>
      </c>
      <c r="AI7" s="116">
        <f>AK$5*A7^2*K$3</f>
        <v>95166.952649824321</v>
      </c>
      <c r="AJ7" s="116">
        <f t="shared" ref="AJ7:AJ70" si="12">2*C$4/AI7</f>
        <v>35.515254464820138</v>
      </c>
      <c r="AK7" s="116">
        <f t="shared" ref="AK7:AK70" si="13">K$1+AJ7^(2)*K$2</f>
        <v>79.231680583601474</v>
      </c>
      <c r="AL7" s="116">
        <f t="shared" ref="AL7:AL70" si="14">0.5*AI7*AK7</f>
        <v>3770118.7972328034</v>
      </c>
      <c r="AM7" s="116">
        <f>EDisponible!F20</f>
        <v>6.2981241599812374E-2</v>
      </c>
      <c r="AN7" s="116">
        <f>AM7-0.8</f>
        <v>-0.73701875840018771</v>
      </c>
      <c r="AO7" s="116">
        <f>IF(AN7&lt;0, 0, 0.00035*(10*AN7/((1/COS(M$1))-0.8))^(3/(1+1/(DATOS!E$6))))</f>
        <v>0</v>
      </c>
      <c r="AP7" s="116">
        <f>0.5*AI7*(AK7+AO7)</f>
        <v>3770118.7972328034</v>
      </c>
      <c r="AQ7" s="116">
        <f>AS$5*A7^2*K$3</f>
        <v>80314.689014197094</v>
      </c>
      <c r="AR7" s="116">
        <f t="shared" ref="AR7:AR70" si="15">2*C$4/AQ7</f>
        <v>42.082943748964084</v>
      </c>
      <c r="AS7" s="116">
        <f t="shared" ref="AS7:AS70" si="16">K$1+AR7^(2)*K$2</f>
        <v>111.23988340721758</v>
      </c>
      <c r="AT7" s="116">
        <f t="shared" ref="AT7:AT70" si="17">0.5*AQ7*AS7</f>
        <v>4467098.3209131118</v>
      </c>
      <c r="AU7" s="116">
        <f>EDisponible!G20</f>
        <v>6.4250955513637353E-2</v>
      </c>
      <c r="AV7" s="116">
        <f>AU7-0.8</f>
        <v>-0.73574904448636269</v>
      </c>
      <c r="AW7" s="116">
        <f>IF(AV7&lt;0, 0, 0.00035*(10*AV7/((1/COS(M$1))-0.8))^(3/(1+1/(DATOS!E$6))))</f>
        <v>0</v>
      </c>
      <c r="AX7" s="116">
        <f t="shared" ref="AX7:AX70" si="18">0.5*AQ7*(AS7+AW7)</f>
        <v>4467098.3209131118</v>
      </c>
      <c r="AY7" s="116">
        <f>BA$5*A7^2*K$3</f>
        <v>67304.392904530847</v>
      </c>
      <c r="AZ7" s="116">
        <f t="shared" ref="AZ7:AZ70" si="19">2*C$4/AY7</f>
        <v>50.217799970267187</v>
      </c>
      <c r="BA7" s="116">
        <f t="shared" ref="BA7:BA70" si="20">K$1+AZ7^(2)*K$2</f>
        <v>158.39753143289505</v>
      </c>
      <c r="BB7" s="116">
        <f t="shared" ref="BB7:BB70" si="21">0.5*AY7*BA7</f>
        <v>5330424.8453336721</v>
      </c>
      <c r="BC7" s="116">
        <f>EDisponible!H20</f>
        <v>6.5600694753488883E-2</v>
      </c>
      <c r="BD7" s="116">
        <f>BC7-0.8</f>
        <v>-0.7343993052465112</v>
      </c>
      <c r="BE7" s="116">
        <f>IF(BD7&lt;0, 0, 0.00035*(10*BD7/((1/COS(M$1))-0.8))^(3/(1+1/(DATOS!E$6))))</f>
        <v>0</v>
      </c>
      <c r="BF7" s="116">
        <f t="shared" ref="BF7:BF70" si="22">0.5*AY7*(BA7+BE7)</f>
        <v>5330424.8453336721</v>
      </c>
      <c r="BG7" s="116">
        <f>BI$5*A7^2*K$3</f>
        <v>55971.403760992842</v>
      </c>
      <c r="BH7" s="116">
        <f t="shared" ref="BH7:BH70" si="23">2*C$4/BG7</f>
        <v>60.385809768728343</v>
      </c>
      <c r="BI7" s="116">
        <f t="shared" ref="BI7:BI70" si="24">K$1+BH7^(2)*K$2</f>
        <v>229.02966287541688</v>
      </c>
      <c r="BJ7" s="116">
        <f t="shared" ref="BJ7:BJ70" si="25">0.5*BG7*BI7</f>
        <v>6409555.8670220152</v>
      </c>
      <c r="BK7" s="116">
        <f>EDisponible!I20</f>
        <v>6.703923488221479E-2</v>
      </c>
      <c r="BL7" s="116">
        <f>BK7-0.8</f>
        <v>-0.7329607651177853</v>
      </c>
      <c r="BM7" s="116">
        <f>IF(BL7&lt;0, 0, 0.00035*(10*BL7/((1/COS(M$1))-0.8))^(3/(1+1/(DATOS!E$6))))</f>
        <v>0</v>
      </c>
      <c r="BN7" s="116">
        <f t="shared" ref="BN7:BN70" si="26">0.5*BG7*(BI7+BM7)</f>
        <v>6409555.8670220152</v>
      </c>
    </row>
    <row r="8" spans="1:66">
      <c r="A8" s="41">
        <f>EDisponible!A21</f>
        <v>25</v>
      </c>
      <c r="B8" s="44"/>
      <c r="C8" s="116">
        <f t="shared" si="0"/>
        <v>275926.27045506856</v>
      </c>
      <c r="D8" s="116">
        <f t="shared" si="1"/>
        <v>12.249208944207343</v>
      </c>
      <c r="E8" s="116">
        <f t="shared" si="2"/>
        <v>9.4366452463631383</v>
      </c>
      <c r="F8" s="116">
        <f t="shared" si="3"/>
        <v>1301909.1642182663</v>
      </c>
      <c r="G8" s="116">
        <f>EDisponible!B21</f>
        <v>7.3205273037713944E-2</v>
      </c>
      <c r="H8" s="116">
        <f t="shared" ref="H8:H71" si="27">G8-0.8</f>
        <v>-0.72679472696228609</v>
      </c>
      <c r="I8" s="116">
        <f>IF(H8&lt;0, 0, 0.00035*(10*H8/((1/COS(M$1))-0.8))^(3/(1+1/(DATOS!E$6))))</f>
        <v>0</v>
      </c>
      <c r="J8" s="116">
        <f t="shared" ref="J8:J71" si="28">0.5*C8*(E8+I8)</f>
        <v>1301909.1642182663</v>
      </c>
      <c r="K8" s="116">
        <f t="shared" ref="K8:K71" si="29">M$5*A8^2*K$3</f>
        <v>238362.72623303268</v>
      </c>
      <c r="L8" s="11">
        <f t="shared" si="4"/>
        <v>14.179559838964501</v>
      </c>
      <c r="M8" s="116">
        <f t="shared" si="5"/>
        <v>12.640776126249257</v>
      </c>
      <c r="N8" s="116">
        <f t="shared" si="6"/>
        <v>1506544.9295771036</v>
      </c>
      <c r="O8" s="116">
        <f>EDisponible!C21</f>
        <v>7.4476123130121072E-2</v>
      </c>
      <c r="P8" s="116">
        <f t="shared" ref="P8:P71" si="30">O8-0.8</f>
        <v>-0.72552387686987896</v>
      </c>
      <c r="Q8" s="116">
        <f>IF(P8&lt;0, 0, 0.00035*(10*P8/((1/COS(M$1))-0.8))^(3/(1+1/(DATOS!E$6))))</f>
        <v>0</v>
      </c>
      <c r="R8" s="116">
        <f t="shared" ref="R8:R71" si="31">0.5*K8*(M8+Q8)</f>
        <v>1506544.9295771036</v>
      </c>
      <c r="S8" s="116">
        <f t="shared" ref="S8:S71" si="32">U$5*A8^2*K$3</f>
        <v>204842.60495354063</v>
      </c>
      <c r="T8" s="116">
        <f t="shared" si="7"/>
        <v>16.499880680420823</v>
      </c>
      <c r="U8" s="116">
        <f t="shared" si="8"/>
        <v>17.111651161697445</v>
      </c>
      <c r="V8" s="116">
        <f t="shared" si="9"/>
        <v>1752597.5995091922</v>
      </c>
      <c r="W8" s="116">
        <f>EDisponible!D21</f>
        <v>7.5815543785656206E-2</v>
      </c>
      <c r="X8" s="116">
        <f t="shared" ref="X8:X71" si="33">W8-0.8</f>
        <v>-0.7241844562143438</v>
      </c>
      <c r="Y8" s="116">
        <f>IF(X8&lt;0, 0, 0.00035*(10*X8/((1/COS(M$1))-0.8))^(3/(1+1/(DATOS!E$6))))</f>
        <v>0</v>
      </c>
      <c r="Z8" s="116">
        <f t="shared" ref="Z8:Z71" si="34">0.5*S8*(U8+Y8)</f>
        <v>1752597.5995091922</v>
      </c>
      <c r="AA8" s="116">
        <f t="shared" ref="AA8:AA71" si="35">AC$5*A8^2*K$3</f>
        <v>175053.86741047175</v>
      </c>
      <c r="AB8" s="116">
        <f t="shared" si="10"/>
        <v>19.307648496989533</v>
      </c>
      <c r="AC8" s="116">
        <f t="shared" si="11"/>
        <v>23.426058594384148</v>
      </c>
      <c r="AD8" s="116">
        <f t="shared" ref="AD8:AD71" si="36">0.5*AA8*AC8</f>
        <v>2050411.0775656325</v>
      </c>
      <c r="AE8" s="116">
        <f>EDisponible!E21</f>
        <v>7.7229931835948409E-2</v>
      </c>
      <c r="AF8" s="116">
        <f t="shared" ref="AF8:AF71" si="37">AE8-0.8</f>
        <v>-0.72277006816405165</v>
      </c>
      <c r="AG8" s="116">
        <f>IF(AF8&lt;0, 0, 0.00035*(10*AF8/((1/COS(M$1))-0.8))^(3/(1+1/(DATOS!E$6))))</f>
        <v>0</v>
      </c>
      <c r="AH8" s="116">
        <f t="shared" ref="AH8:AH71" si="38">0.5*AA8*(AC8+AG8)</f>
        <v>2050411.0775656325</v>
      </c>
      <c r="AI8" s="116">
        <f t="shared" ref="AI8:AI71" si="39">AK$5*A8^2*K$3</f>
        <v>148698.3635153505</v>
      </c>
      <c r="AJ8" s="116">
        <f t="shared" si="12"/>
        <v>22.729762857484889</v>
      </c>
      <c r="AK8" s="116">
        <f t="shared" si="13"/>
        <v>32.461045720122982</v>
      </c>
      <c r="AL8" s="116">
        <f t="shared" si="14"/>
        <v>2413452.1882896298</v>
      </c>
      <c r="AM8" s="116">
        <f>EDisponible!F21</f>
        <v>7.8726551999765471E-2</v>
      </c>
      <c r="AN8" s="116">
        <f t="shared" ref="AN8:AN71" si="40">AM8-0.8</f>
        <v>-0.72127344800023452</v>
      </c>
      <c r="AO8" s="116">
        <f>IF(AN8&lt;0, 0, 0.00035*(10*AN8/((1/COS(M$1))-0.8))^(3/(1+1/(DATOS!E$6))))</f>
        <v>0</v>
      </c>
      <c r="AP8" s="116">
        <f t="shared" ref="AP8:AP71" si="41">0.5*AI8*(AK8+AO8)</f>
        <v>2413452.1882896298</v>
      </c>
      <c r="AQ8" s="116">
        <f t="shared" ref="AQ8:AQ71" si="42">AS$5*A8^2*K$3</f>
        <v>125491.70158468296</v>
      </c>
      <c r="AR8" s="116">
        <f t="shared" si="15"/>
        <v>26.933083999337015</v>
      </c>
      <c r="AS8" s="116">
        <f t="shared" si="16"/>
        <v>45.571605596676143</v>
      </c>
      <c r="AT8" s="116">
        <f t="shared" si="17"/>
        <v>2859429.1651364751</v>
      </c>
      <c r="AU8" s="116">
        <f>EDisponible!G21</f>
        <v>8.0313694392046692E-2</v>
      </c>
      <c r="AV8" s="116">
        <f t="shared" ref="AV8:AV71" si="43">AU8-0.8</f>
        <v>-0.71968630560795332</v>
      </c>
      <c r="AW8" s="116">
        <f>IF(AV8&lt;0, 0, 0.00035*(10*AV8/((1/COS(M$1))-0.8))^(3/(1+1/(DATOS!E$6))))</f>
        <v>0</v>
      </c>
      <c r="AX8" s="116">
        <f t="shared" si="18"/>
        <v>2859429.1651364751</v>
      </c>
      <c r="AY8" s="116">
        <f t="shared" ref="AY8:AY71" si="44">BA$5*A8^2*K$3</f>
        <v>105163.11391332943</v>
      </c>
      <c r="AZ8" s="116">
        <f t="shared" si="19"/>
        <v>32.139391980970998</v>
      </c>
      <c r="BA8" s="116">
        <f t="shared" si="20"/>
        <v>64.887378227993636</v>
      </c>
      <c r="BB8" s="116">
        <f t="shared" si="21"/>
        <v>3411879.3740638937</v>
      </c>
      <c r="BC8" s="116">
        <f>EDisponible!H21</f>
        <v>8.2000868441861108E-2</v>
      </c>
      <c r="BD8" s="116">
        <f t="shared" ref="BD8:BD71" si="45">BC8-0.8</f>
        <v>-0.71799913155813888</v>
      </c>
      <c r="BE8" s="116">
        <f>IF(BD8&lt;0, 0, 0.00035*(10*BD8/((1/COS(M$1))-0.8))^(3/(1+1/(DATOS!E$6))))</f>
        <v>0</v>
      </c>
      <c r="BF8" s="116">
        <f t="shared" si="22"/>
        <v>3411879.3740638937</v>
      </c>
      <c r="BG8" s="116">
        <f t="shared" ref="BG8:BG71" si="46">BI$5*A8^2*K$3</f>
        <v>87455.318376551324</v>
      </c>
      <c r="BH8" s="116">
        <f t="shared" si="23"/>
        <v>38.646918251986136</v>
      </c>
      <c r="BI8" s="116">
        <f t="shared" si="24"/>
        <v>93.818299266850559</v>
      </c>
      <c r="BJ8" s="116">
        <f t="shared" si="25"/>
        <v>4102454.6159644937</v>
      </c>
      <c r="BK8" s="116">
        <f>EDisponible!I21</f>
        <v>8.3799043602768478E-2</v>
      </c>
      <c r="BL8" s="116">
        <f t="shared" ref="BL8:BL71" si="47">BK8-0.8</f>
        <v>-0.71620095639723158</v>
      </c>
      <c r="BM8" s="116">
        <f>IF(BL8&lt;0, 0, 0.00035*(10*BL8/((1/COS(M$1))-0.8))^(3/(1+1/(DATOS!E$6))))</f>
        <v>0</v>
      </c>
      <c r="BN8" s="116">
        <f t="shared" si="26"/>
        <v>4102454.6159644937</v>
      </c>
    </row>
    <row r="9" spans="1:66">
      <c r="A9" s="41">
        <f>EDisponible!A22</f>
        <v>30</v>
      </c>
      <c r="B9" s="44"/>
      <c r="C9" s="116">
        <f t="shared" si="0"/>
        <v>397333.82945529872</v>
      </c>
      <c r="D9" s="116">
        <f t="shared" si="1"/>
        <v>8.5063951001439886</v>
      </c>
      <c r="E9" s="116">
        <f t="shared" si="2"/>
        <v>4.5576470333783936</v>
      </c>
      <c r="F9" s="116">
        <f t="shared" si="3"/>
        <v>905453.67453890946</v>
      </c>
      <c r="G9" s="116">
        <f>EDisponible!B22</f>
        <v>8.7846327645256725E-2</v>
      </c>
      <c r="H9" s="116">
        <f t="shared" si="27"/>
        <v>-0.71215367235474336</v>
      </c>
      <c r="I9" s="116">
        <f>IF(H9&lt;0, 0, 0.00035*(10*H9/((1/COS(M$1))-0.8))^(3/(1+1/(DATOS!E$6))))</f>
        <v>0</v>
      </c>
      <c r="J9" s="116">
        <f t="shared" si="28"/>
        <v>905453.67453890946</v>
      </c>
      <c r="K9" s="116">
        <f t="shared" si="29"/>
        <v>343242.32577556703</v>
      </c>
      <c r="L9" s="11">
        <f t="shared" si="4"/>
        <v>9.8469165548364597</v>
      </c>
      <c r="M9" s="116">
        <f t="shared" si="5"/>
        <v>6.1028490394963146</v>
      </c>
      <c r="N9" s="116">
        <f t="shared" si="6"/>
        <v>1047378.0490869503</v>
      </c>
      <c r="O9" s="116">
        <f>EDisponible!C22</f>
        <v>8.9371347756145275E-2</v>
      </c>
      <c r="P9" s="116">
        <f t="shared" si="30"/>
        <v>-0.71062865224385474</v>
      </c>
      <c r="Q9" s="116">
        <f>IF(P9&lt;0, 0, 0.00035*(10*P9/((1/COS(M$1))-0.8))^(3/(1+1/(DATOS!E$6))))</f>
        <v>0</v>
      </c>
      <c r="R9" s="116">
        <f t="shared" si="31"/>
        <v>1047378.0490869503</v>
      </c>
      <c r="S9" s="116">
        <f t="shared" si="32"/>
        <v>294973.35113309853</v>
      </c>
      <c r="T9" s="116">
        <f t="shared" si="7"/>
        <v>11.458250472514461</v>
      </c>
      <c r="U9" s="116">
        <f t="shared" si="8"/>
        <v>8.2589423243382249</v>
      </c>
      <c r="V9" s="116">
        <f t="shared" si="9"/>
        <v>1218083.9471125142</v>
      </c>
      <c r="W9" s="116">
        <f>EDisponible!D22</f>
        <v>9.0978652542787447E-2</v>
      </c>
      <c r="X9" s="116">
        <f t="shared" si="33"/>
        <v>-0.70902134745721257</v>
      </c>
      <c r="Y9" s="116">
        <f>IF(X9&lt;0, 0, 0.00035*(10*X9/((1/COS(M$1))-0.8))^(3/(1+1/(DATOS!E$6))))</f>
        <v>0</v>
      </c>
      <c r="Z9" s="116">
        <f t="shared" si="34"/>
        <v>1218083.9471125142</v>
      </c>
      <c r="AA9" s="116">
        <f t="shared" si="35"/>
        <v>252077.56907107931</v>
      </c>
      <c r="AB9" s="116">
        <f t="shared" si="10"/>
        <v>13.40808923402051</v>
      </c>
      <c r="AC9" s="116">
        <f t="shared" si="11"/>
        <v>11.304084797663219</v>
      </c>
      <c r="AD9" s="116">
        <f t="shared" si="36"/>
        <v>1424753.1081841439</v>
      </c>
      <c r="AE9" s="116">
        <f>EDisponible!E22</f>
        <v>9.26759182031381E-2</v>
      </c>
      <c r="AF9" s="116">
        <f t="shared" si="37"/>
        <v>-0.7073240817968619</v>
      </c>
      <c r="AG9" s="116">
        <f>IF(AF9&lt;0, 0, 0.00035*(10*AF9/((1/COS(M$1))-0.8))^(3/(1+1/(DATOS!E$6))))</f>
        <v>0</v>
      </c>
      <c r="AH9" s="116">
        <f t="shared" si="38"/>
        <v>1424753.1081841439</v>
      </c>
      <c r="AI9" s="116">
        <f t="shared" si="39"/>
        <v>214125.64346210472</v>
      </c>
      <c r="AJ9" s="116">
        <f t="shared" si="12"/>
        <v>15.784557539920062</v>
      </c>
      <c r="AK9" s="116">
        <f t="shared" si="13"/>
        <v>15.661235224813506</v>
      </c>
      <c r="AL9" s="116">
        <f t="shared" si="14"/>
        <v>1676736.0349622862</v>
      </c>
      <c r="AM9" s="116">
        <f>EDisponible!F22</f>
        <v>9.4471862399718567E-2</v>
      </c>
      <c r="AN9" s="116">
        <f t="shared" si="40"/>
        <v>-0.70552813760028144</v>
      </c>
      <c r="AO9" s="116">
        <f>IF(AN9&lt;0, 0, 0.00035*(10*AN9/((1/COS(M$1))-0.8))^(3/(1+1/(DATOS!E$6))))</f>
        <v>0</v>
      </c>
      <c r="AP9" s="116">
        <f t="shared" si="41"/>
        <v>1676736.0349622862</v>
      </c>
      <c r="AQ9" s="116">
        <f t="shared" si="42"/>
        <v>180708.05028194346</v>
      </c>
      <c r="AR9" s="116">
        <f t="shared" si="15"/>
        <v>18.703530555095149</v>
      </c>
      <c r="AS9" s="116">
        <f t="shared" si="16"/>
        <v>21.983843189972244</v>
      </c>
      <c r="AT9" s="116">
        <f t="shared" si="17"/>
        <v>1986328.7202819323</v>
      </c>
      <c r="AU9" s="116">
        <f>EDisponible!G22</f>
        <v>9.637643327045603E-2</v>
      </c>
      <c r="AV9" s="116">
        <f t="shared" si="43"/>
        <v>-0.70362356672954407</v>
      </c>
      <c r="AW9" s="116">
        <f>IF(AV9&lt;0, 0, 0.00035*(10*AV9/((1/COS(M$1))-0.8))^(3/(1+1/(DATOS!E$6))))</f>
        <v>0</v>
      </c>
      <c r="AX9" s="116">
        <f t="shared" si="18"/>
        <v>1986328.7202819323</v>
      </c>
      <c r="AY9" s="116">
        <f t="shared" si="44"/>
        <v>151434.88403519441</v>
      </c>
      <c r="AZ9" s="116">
        <f t="shared" si="19"/>
        <v>22.319022209007638</v>
      </c>
      <c r="BA9" s="116">
        <f t="shared" si="20"/>
        <v>31.298934158007299</v>
      </c>
      <c r="BB9" s="116">
        <f t="shared" si="21"/>
        <v>2369875.2323215101</v>
      </c>
      <c r="BC9" s="116">
        <f>EDisponible!H22</f>
        <v>9.8401042130233332E-2</v>
      </c>
      <c r="BD9" s="116">
        <f t="shared" si="45"/>
        <v>-0.70159895786976667</v>
      </c>
      <c r="BE9" s="116">
        <f>IF(BD9&lt;0, 0, 0.00035*(10*BD9/((1/COS(M$1))-0.8))^(3/(1+1/(DATOS!E$6))))</f>
        <v>0</v>
      </c>
      <c r="BF9" s="116">
        <f t="shared" si="22"/>
        <v>2369875.2323215101</v>
      </c>
      <c r="BG9" s="116">
        <f t="shared" si="46"/>
        <v>125935.65846223389</v>
      </c>
      <c r="BH9" s="116">
        <f t="shared" si="23"/>
        <v>26.838137674990378</v>
      </c>
      <c r="BI9" s="116">
        <f t="shared" si="24"/>
        <v>45.250960121962237</v>
      </c>
      <c r="BJ9" s="116">
        <f t="shared" si="25"/>
        <v>2849354.7295038006</v>
      </c>
      <c r="BK9" s="116">
        <f>EDisponible!I22</f>
        <v>0.10055885232332218</v>
      </c>
      <c r="BL9" s="116">
        <f t="shared" si="47"/>
        <v>-0.69944114767667787</v>
      </c>
      <c r="BM9" s="116">
        <f>IF(BL9&lt;0, 0, 0.00035*(10*BL9/((1/COS(M$1))-0.8))^(3/(1+1/(DATOS!E$6))))</f>
        <v>0</v>
      </c>
      <c r="BN9" s="116">
        <f t="shared" si="26"/>
        <v>2849354.7295038006</v>
      </c>
    </row>
    <row r="10" spans="1:66">
      <c r="A10" s="41">
        <f>EDisponible!A23</f>
        <v>35</v>
      </c>
      <c r="B10" s="44"/>
      <c r="C10" s="116">
        <f t="shared" si="0"/>
        <v>540815.49009193445</v>
      </c>
      <c r="D10" s="116">
        <f t="shared" si="1"/>
        <v>6.2495964001057862</v>
      </c>
      <c r="E10" s="116">
        <f t="shared" si="2"/>
        <v>2.4661450816688837</v>
      </c>
      <c r="F10" s="116">
        <f t="shared" si="3"/>
        <v>666864.73049028555</v>
      </c>
      <c r="G10" s="116">
        <f>EDisponible!B23</f>
        <v>0.10248738225279952</v>
      </c>
      <c r="H10" s="116">
        <f t="shared" si="27"/>
        <v>-0.69751261774720053</v>
      </c>
      <c r="I10" s="116">
        <f>IF(H10&lt;0, 0, 0.00035*(10*H10/((1/COS(M$1))-0.8))^(3/(1+1/(DATOS!E$6))))</f>
        <v>0</v>
      </c>
      <c r="J10" s="116">
        <f t="shared" si="28"/>
        <v>666864.73049028555</v>
      </c>
      <c r="K10" s="116">
        <f t="shared" si="29"/>
        <v>467190.94341674406</v>
      </c>
      <c r="L10" s="11">
        <f t="shared" si="4"/>
        <v>7.234469305594132</v>
      </c>
      <c r="M10" s="116">
        <f t="shared" si="5"/>
        <v>3.3002066393235379</v>
      </c>
      <c r="N10" s="116">
        <f t="shared" si="6"/>
        <v>770913.32664788305</v>
      </c>
      <c r="O10" s="116">
        <f>EDisponible!C23</f>
        <v>0.10426657238216949</v>
      </c>
      <c r="P10" s="116">
        <f t="shared" si="30"/>
        <v>-0.69573342761783052</v>
      </c>
      <c r="Q10" s="116">
        <f>IF(P10&lt;0, 0, 0.00035*(10*P10/((1/COS(M$1))-0.8))^(3/(1+1/(DATOS!E$6))))</f>
        <v>0</v>
      </c>
      <c r="R10" s="116">
        <f t="shared" si="31"/>
        <v>770913.32664788305</v>
      </c>
      <c r="S10" s="116">
        <f t="shared" si="32"/>
        <v>401491.50570893969</v>
      </c>
      <c r="T10" s="116">
        <f t="shared" si="7"/>
        <v>8.4183064696024594</v>
      </c>
      <c r="U10" s="116">
        <f t="shared" si="8"/>
        <v>4.4640120941986376</v>
      </c>
      <c r="V10" s="116">
        <f t="shared" si="9"/>
        <v>896131.46860136406</v>
      </c>
      <c r="W10" s="116">
        <f>EDisponible!D23</f>
        <v>0.10614176129991869</v>
      </c>
      <c r="X10" s="116">
        <f t="shared" si="33"/>
        <v>-0.69385823870008134</v>
      </c>
      <c r="Y10" s="116">
        <f>IF(X10&lt;0, 0, 0.00035*(10*X10/((1/COS(M$1))-0.8))^(3/(1+1/(DATOS!E$6))))</f>
        <v>0</v>
      </c>
      <c r="Z10" s="116">
        <f t="shared" si="34"/>
        <v>896131.46860136406</v>
      </c>
      <c r="AA10" s="116">
        <f t="shared" si="35"/>
        <v>343105.58012452465</v>
      </c>
      <c r="AB10" s="116">
        <f t="shared" si="10"/>
        <v>9.8508410698926188</v>
      </c>
      <c r="AC10" s="116">
        <f t="shared" si="11"/>
        <v>6.1077041581008427</v>
      </c>
      <c r="AD10" s="116">
        <f t="shared" si="36"/>
        <v>1047793.6891970806</v>
      </c>
      <c r="AE10" s="116">
        <f>EDisponible!E23</f>
        <v>0.10812190457032778</v>
      </c>
      <c r="AF10" s="116">
        <f t="shared" si="37"/>
        <v>-0.69187809542967227</v>
      </c>
      <c r="AG10" s="116">
        <f>IF(AF10&lt;0, 0, 0.00035*(10*AF10/((1/COS(M$1))-0.8))^(3/(1+1/(DATOS!E$6))))</f>
        <v>0</v>
      </c>
      <c r="AH10" s="116">
        <f t="shared" si="38"/>
        <v>1047793.6891970806</v>
      </c>
      <c r="AI10" s="116">
        <f t="shared" si="39"/>
        <v>291448.79249008698</v>
      </c>
      <c r="AJ10" s="116">
        <f t="shared" si="12"/>
        <v>11.596817784431066</v>
      </c>
      <c r="AK10" s="116">
        <f t="shared" si="13"/>
        <v>8.4595854382286113</v>
      </c>
      <c r="AL10" s="116">
        <f t="shared" si="14"/>
        <v>1232767.9804692261</v>
      </c>
      <c r="AM10" s="116">
        <f>EDisponible!F23</f>
        <v>0.11021717279967166</v>
      </c>
      <c r="AN10" s="116">
        <f t="shared" si="40"/>
        <v>-0.68978282720032835</v>
      </c>
      <c r="AO10" s="116">
        <f>IF(AN10&lt;0, 0, 0.00035*(10*AN10/((1/COS(M$1))-0.8))^(3/(1+1/(DATOS!E$6))))</f>
        <v>0</v>
      </c>
      <c r="AP10" s="116">
        <f t="shared" si="41"/>
        <v>1232767.9804692261</v>
      </c>
      <c r="AQ10" s="116">
        <f t="shared" si="42"/>
        <v>245963.73510597859</v>
      </c>
      <c r="AR10" s="116">
        <f t="shared" si="15"/>
        <v>13.741369387416844</v>
      </c>
      <c r="AS10" s="116">
        <f t="shared" si="16"/>
        <v>11.872371745119791</v>
      </c>
      <c r="AT10" s="116">
        <f t="shared" si="17"/>
        <v>1460086.4494981745</v>
      </c>
      <c r="AU10" s="116">
        <f>EDisponible!G23</f>
        <v>0.11243917214886537</v>
      </c>
      <c r="AV10" s="116">
        <f t="shared" si="43"/>
        <v>-0.6875608278511347</v>
      </c>
      <c r="AW10" s="116">
        <f>IF(AV10&lt;0, 0, 0.00035*(10*AV10/((1/COS(M$1))-0.8))^(3/(1+1/(DATOS!E$6))))</f>
        <v>0</v>
      </c>
      <c r="AX10" s="116">
        <f t="shared" si="18"/>
        <v>1460086.4494981745</v>
      </c>
      <c r="AY10" s="116">
        <f t="shared" si="44"/>
        <v>206119.7032701257</v>
      </c>
      <c r="AZ10" s="116">
        <f t="shared" si="19"/>
        <v>16.397648969883164</v>
      </c>
      <c r="BA10" s="116">
        <f t="shared" si="20"/>
        <v>16.900425845316978</v>
      </c>
      <c r="BB10" s="116">
        <f t="shared" si="21"/>
        <v>1741755.3801877494</v>
      </c>
      <c r="BC10" s="116">
        <f>EDisponible!H23</f>
        <v>0.11480121581860556</v>
      </c>
      <c r="BD10" s="116">
        <f t="shared" si="45"/>
        <v>-0.68519878418139446</v>
      </c>
      <c r="BE10" s="116">
        <f>IF(BD10&lt;0, 0, 0.00035*(10*BD10/((1/COS(M$1))-0.8))^(3/(1+1/(DATOS!E$6))))</f>
        <v>0</v>
      </c>
      <c r="BF10" s="116">
        <f t="shared" si="22"/>
        <v>1741755.3801877494</v>
      </c>
      <c r="BG10" s="116">
        <f t="shared" si="46"/>
        <v>171412.42401804059</v>
      </c>
      <c r="BH10" s="116">
        <f t="shared" si="23"/>
        <v>19.717815434686806</v>
      </c>
      <c r="BI10" s="116">
        <f t="shared" si="24"/>
        <v>24.431381967468404</v>
      </c>
      <c r="BJ10" s="116">
        <f t="shared" si="25"/>
        <v>2093921.2025772023</v>
      </c>
      <c r="BK10" s="116">
        <f>EDisponible!I23</f>
        <v>0.11731866104387588</v>
      </c>
      <c r="BL10" s="116">
        <f t="shared" si="47"/>
        <v>-0.68268133895612415</v>
      </c>
      <c r="BM10" s="116">
        <f>IF(BL10&lt;0, 0, 0.00035*(10*BL10/((1/COS(M$1))-0.8))^(3/(1+1/(DATOS!E$6))))</f>
        <v>0</v>
      </c>
      <c r="BN10" s="116">
        <f t="shared" si="26"/>
        <v>2093921.2025772023</v>
      </c>
    </row>
    <row r="11" spans="1:66">
      <c r="A11" s="41">
        <f>EDisponible!A24</f>
        <v>40</v>
      </c>
      <c r="B11" s="44"/>
      <c r="C11" s="116">
        <f t="shared" si="0"/>
        <v>706371.25236497552</v>
      </c>
      <c r="D11" s="116">
        <f t="shared" si="1"/>
        <v>4.7848472438309928</v>
      </c>
      <c r="E11" s="116">
        <f t="shared" si="2"/>
        <v>1.4510405834365705</v>
      </c>
      <c r="F11" s="116">
        <f t="shared" si="3"/>
        <v>512486.67707724753</v>
      </c>
      <c r="G11" s="116">
        <f>EDisponible!B24</f>
        <v>0.11712843686034231</v>
      </c>
      <c r="H11" s="116">
        <f t="shared" si="27"/>
        <v>-0.68287156313965769</v>
      </c>
      <c r="I11" s="116">
        <f>IF(H11&lt;0, 0, 0.00035*(10*H11/((1/COS(M$1))-0.8))^(3/(1+1/(DATOS!E$6))))</f>
        <v>0</v>
      </c>
      <c r="J11" s="116">
        <f t="shared" si="28"/>
        <v>512486.67707724753</v>
      </c>
      <c r="K11" s="116">
        <f>M$5*A11^2*K$3</f>
        <v>610208.57915656362</v>
      </c>
      <c r="L11" s="11">
        <f t="shared" si="4"/>
        <v>5.5388905620955082</v>
      </c>
      <c r="M11" s="116">
        <f t="shared" si="5"/>
        <v>1.9399521556848192</v>
      </c>
      <c r="N11" s="116">
        <f t="shared" si="6"/>
        <v>591887.72427607304</v>
      </c>
      <c r="O11" s="116">
        <f>EDisponible!C24</f>
        <v>0.11916179700819371</v>
      </c>
      <c r="P11" s="116">
        <f t="shared" si="30"/>
        <v>-0.68083820299180631</v>
      </c>
      <c r="Q11" s="116">
        <f>IF(P11&lt;0, 0, 0.00035*(10*P11/((1/COS(M$1))-0.8))^(3/(1+1/(DATOS!E$6))))</f>
        <v>0</v>
      </c>
      <c r="R11" s="116">
        <f t="shared" si="31"/>
        <v>591887.72427607304</v>
      </c>
      <c r="S11" s="116">
        <f t="shared" si="32"/>
        <v>524397.06868106406</v>
      </c>
      <c r="T11" s="116">
        <f t="shared" si="7"/>
        <v>6.4452658907893836</v>
      </c>
      <c r="U11" s="116">
        <f t="shared" si="8"/>
        <v>2.6221535465918295</v>
      </c>
      <c r="V11" s="116">
        <f t="shared" si="9"/>
        <v>687524.81673220568</v>
      </c>
      <c r="W11" s="116">
        <f>EDisponible!D24</f>
        <v>0.12130487005704993</v>
      </c>
      <c r="X11" s="116">
        <f t="shared" si="33"/>
        <v>-0.67869512994295011</v>
      </c>
      <c r="Y11" s="116">
        <f>IF(X11&lt;0, 0, 0.00035*(10*X11/((1/COS(M$1))-0.8))^(3/(1+1/(DATOS!E$6))))</f>
        <v>0</v>
      </c>
      <c r="Z11" s="116">
        <f t="shared" si="34"/>
        <v>687524.81673220568</v>
      </c>
      <c r="AA11" s="116">
        <f t="shared" si="35"/>
        <v>448137.90057080769</v>
      </c>
      <c r="AB11" s="116">
        <f t="shared" si="10"/>
        <v>7.5420501941365368</v>
      </c>
      <c r="AC11" s="116">
        <f t="shared" si="11"/>
        <v>3.5856556572923162</v>
      </c>
      <c r="AD11" s="116">
        <f t="shared" si="36"/>
        <v>803434.09921440901</v>
      </c>
      <c r="AE11" s="116">
        <f>EDisponible!E24</f>
        <v>0.12356789093751747</v>
      </c>
      <c r="AF11" s="116">
        <f t="shared" si="37"/>
        <v>-0.67643210906248252</v>
      </c>
      <c r="AG11" s="116">
        <f>IF(AF11&lt;0, 0, 0.00035*(10*AF11/((1/COS(M$1))-0.8))^(3/(1+1/(DATOS!E$6))))</f>
        <v>0</v>
      </c>
      <c r="AH11" s="116">
        <f t="shared" si="38"/>
        <v>803434.09921440901</v>
      </c>
      <c r="AI11" s="116">
        <f t="shared" si="39"/>
        <v>380667.81059929729</v>
      </c>
      <c r="AJ11" s="116">
        <f t="shared" si="12"/>
        <v>8.8788136162050346</v>
      </c>
      <c r="AK11" s="116">
        <f t="shared" si="13"/>
        <v>4.9642852846328358</v>
      </c>
      <c r="AL11" s="116">
        <f t="shared" si="14"/>
        <v>944871.80524574546</v>
      </c>
      <c r="AM11" s="116">
        <f>EDisponible!F24</f>
        <v>0.12596248319962475</v>
      </c>
      <c r="AN11" s="116">
        <f t="shared" si="40"/>
        <v>-0.67403751680037527</v>
      </c>
      <c r="AO11" s="116">
        <f>IF(AN11&lt;0, 0, 0.00035*(10*AN11/((1/COS(M$1))-0.8))^(3/(1+1/(DATOS!E$6))))</f>
        <v>0</v>
      </c>
      <c r="AP11" s="116">
        <f t="shared" si="41"/>
        <v>944871.80524574546</v>
      </c>
      <c r="AQ11" s="116">
        <f t="shared" si="42"/>
        <v>321258.75605678838</v>
      </c>
      <c r="AR11" s="116">
        <f t="shared" si="15"/>
        <v>10.520735937241021</v>
      </c>
      <c r="AS11" s="116">
        <f t="shared" si="16"/>
        <v>6.9647979611088422</v>
      </c>
      <c r="AT11" s="116">
        <f t="shared" si="17"/>
        <v>1118751.1645863412</v>
      </c>
      <c r="AU11" s="116">
        <f>EDisponible!G24</f>
        <v>0.12850191102727471</v>
      </c>
      <c r="AV11" s="116">
        <f t="shared" si="43"/>
        <v>-0.67149808897272534</v>
      </c>
      <c r="AW11" s="116">
        <f>IF(AV11&lt;0, 0, 0.00035*(10*AV11/((1/COS(M$1))-0.8))^(3/(1+1/(DATOS!E$6))))</f>
        <v>0</v>
      </c>
      <c r="AX11" s="116">
        <f t="shared" si="18"/>
        <v>1118751.1645863412</v>
      </c>
      <c r="AY11" s="116">
        <f t="shared" si="44"/>
        <v>269217.57161812339</v>
      </c>
      <c r="AZ11" s="116">
        <f t="shared" si="19"/>
        <v>12.554449992566797</v>
      </c>
      <c r="BA11" s="116">
        <f t="shared" si="20"/>
        <v>9.9121509627136852</v>
      </c>
      <c r="BB11" s="116">
        <f t="shared" si="21"/>
        <v>1334262.6058470111</v>
      </c>
      <c r="BC11" s="116">
        <f>EDisponible!H24</f>
        <v>0.13120138950697777</v>
      </c>
      <c r="BD11" s="116">
        <f t="shared" si="45"/>
        <v>-0.66879861049302225</v>
      </c>
      <c r="BE11" s="116">
        <f>IF(BD11&lt;0, 0, 0.00035*(10*BD11/((1/COS(M$1))-0.8))^(3/(1+1/(DATOS!E$6))))</f>
        <v>0</v>
      </c>
      <c r="BF11" s="116">
        <f t="shared" si="22"/>
        <v>1334262.6058470111</v>
      </c>
      <c r="BG11" s="116">
        <f t="shared" si="46"/>
        <v>223885.61504397137</v>
      </c>
      <c r="BH11" s="116">
        <f t="shared" si="23"/>
        <v>15.096452442182086</v>
      </c>
      <c r="BI11" s="116">
        <f t="shared" si="24"/>
        <v>14.326659177871299</v>
      </c>
      <c r="BJ11" s="116">
        <f t="shared" si="25"/>
        <v>1603766.4507815365</v>
      </c>
      <c r="BK11" s="116">
        <f>EDisponible!I24</f>
        <v>0.13407846976442958</v>
      </c>
      <c r="BL11" s="116">
        <f t="shared" si="47"/>
        <v>-0.66592153023557044</v>
      </c>
      <c r="BM11" s="116">
        <f>IF(BL11&lt;0, 0, 0.00035*(10*BL11/((1/COS(M$1))-0.8))^(3/(1+1/(DATOS!E$6))))</f>
        <v>0</v>
      </c>
      <c r="BN11" s="116">
        <f t="shared" si="26"/>
        <v>1603766.4507815365</v>
      </c>
    </row>
    <row r="12" spans="1:66">
      <c r="A12" s="41">
        <f>EDisponible!A25</f>
        <v>45</v>
      </c>
      <c r="B12" s="44"/>
      <c r="C12" s="116">
        <f t="shared" si="0"/>
        <v>894001.11627442215</v>
      </c>
      <c r="D12" s="116">
        <f t="shared" si="1"/>
        <v>3.780620044508439</v>
      </c>
      <c r="E12" s="116">
        <f t="shared" si="2"/>
        <v>0.91080884452252553</v>
      </c>
      <c r="F12" s="116">
        <f t="shared" si="3"/>
        <v>407132.06185787724</v>
      </c>
      <c r="G12" s="116">
        <f>EDisponible!B25</f>
        <v>0.13176949146788511</v>
      </c>
      <c r="H12" s="116">
        <f t="shared" si="27"/>
        <v>-0.66823050853211496</v>
      </c>
      <c r="I12" s="116">
        <f>IF(H12&lt;0, 0, 0.00035*(10*H12/((1/COS(M$1))-0.8))^(3/(1+1/(DATOS!E$6))))</f>
        <v>0</v>
      </c>
      <c r="J12" s="116">
        <f t="shared" si="28"/>
        <v>407132.06185787724</v>
      </c>
      <c r="K12" s="116">
        <f t="shared" si="29"/>
        <v>772295.2329950257</v>
      </c>
      <c r="L12" s="11">
        <f t="shared" si="4"/>
        <v>4.3764073577050935</v>
      </c>
      <c r="M12" s="116">
        <f t="shared" si="5"/>
        <v>1.2160339321507569</v>
      </c>
      <c r="N12" s="116">
        <f t="shared" si="6"/>
        <v>469568.60448011308</v>
      </c>
      <c r="O12" s="116">
        <f>EDisponible!C25</f>
        <v>0.13405702163421793</v>
      </c>
      <c r="P12" s="116">
        <f t="shared" si="30"/>
        <v>-0.66594297836578209</v>
      </c>
      <c r="Q12" s="116">
        <f>IF(P12&lt;0, 0, 0.00035*(10*P12/((1/COS(M$1))-0.8))^(3/(1+1/(DATOS!E$6))))</f>
        <v>0</v>
      </c>
      <c r="R12" s="116">
        <f t="shared" si="31"/>
        <v>469568.60448011308</v>
      </c>
      <c r="S12" s="116">
        <f t="shared" si="32"/>
        <v>663690.04004947166</v>
      </c>
      <c r="T12" s="116">
        <f t="shared" si="7"/>
        <v>5.0925557655619826</v>
      </c>
      <c r="U12" s="116">
        <f t="shared" si="8"/>
        <v>1.6419289019960726</v>
      </c>
      <c r="V12" s="116">
        <f t="shared" si="9"/>
        <v>544865.92936207925</v>
      </c>
      <c r="W12" s="116">
        <f>EDisponible!D25</f>
        <v>0.13646797881418118</v>
      </c>
      <c r="X12" s="116">
        <f t="shared" si="33"/>
        <v>-0.66353202118581889</v>
      </c>
      <c r="Y12" s="116">
        <f>IF(X12&lt;0, 0, 0.00035*(10*X12/((1/COS(M$1))-0.8))^(3/(1+1/(DATOS!E$6))))</f>
        <v>0</v>
      </c>
      <c r="Z12" s="116">
        <f t="shared" si="34"/>
        <v>544865.92936207925</v>
      </c>
      <c r="AA12" s="116">
        <f t="shared" si="35"/>
        <v>567174.53040992853</v>
      </c>
      <c r="AB12" s="116">
        <f t="shared" si="10"/>
        <v>5.9591507706757811</v>
      </c>
      <c r="AC12" s="116">
        <f t="shared" si="11"/>
        <v>2.2434385263565644</v>
      </c>
      <c r="AD12" s="116">
        <f t="shared" si="36"/>
        <v>636210.59634491324</v>
      </c>
      <c r="AE12" s="116">
        <f>EDisponible!E25</f>
        <v>0.13901387730470716</v>
      </c>
      <c r="AF12" s="116">
        <f t="shared" si="37"/>
        <v>-0.66098612269529289</v>
      </c>
      <c r="AG12" s="116">
        <f>IF(AF12&lt;0, 0, 0.00035*(10*AF12/((1/COS(M$1))-0.8))^(3/(1+1/(DATOS!E$6))))</f>
        <v>0</v>
      </c>
      <c r="AH12" s="116">
        <f t="shared" si="38"/>
        <v>636210.59634491324</v>
      </c>
      <c r="AI12" s="116">
        <f t="shared" si="39"/>
        <v>481782.69778973563</v>
      </c>
      <c r="AJ12" s="116">
        <f t="shared" si="12"/>
        <v>7.015358906631139</v>
      </c>
      <c r="AK12" s="116">
        <f t="shared" si="13"/>
        <v>3.1041102156702025</v>
      </c>
      <c r="AL12" s="116">
        <f t="shared" si="14"/>
        <v>747753.29697113414</v>
      </c>
      <c r="AM12" s="116">
        <f>EDisponible!F25</f>
        <v>0.14170779359957786</v>
      </c>
      <c r="AN12" s="116">
        <f t="shared" si="40"/>
        <v>-0.65829220640042219</v>
      </c>
      <c r="AO12" s="116">
        <f>IF(AN12&lt;0, 0, 0.00035*(10*AN12/((1/COS(M$1))-0.8))^(3/(1+1/(DATOS!E$6))))</f>
        <v>0</v>
      </c>
      <c r="AP12" s="116">
        <f t="shared" si="41"/>
        <v>747753.29697113414</v>
      </c>
      <c r="AQ12" s="116">
        <f t="shared" si="42"/>
        <v>406593.1131343728</v>
      </c>
      <c r="AR12" s="116">
        <f t="shared" si="15"/>
        <v>8.312680246708954</v>
      </c>
      <c r="AS12" s="116">
        <f t="shared" si="16"/>
        <v>4.3530204310101981</v>
      </c>
      <c r="AT12" s="116">
        <f t="shared" si="17"/>
        <v>884954.0642909829</v>
      </c>
      <c r="AU12" s="116">
        <f>EDisponible!G25</f>
        <v>0.14456464990568405</v>
      </c>
      <c r="AV12" s="116">
        <f t="shared" si="43"/>
        <v>-0.65543535009431597</v>
      </c>
      <c r="AW12" s="116">
        <f>IF(AV12&lt;0, 0, 0.00035*(10*AV12/((1/COS(M$1))-0.8))^(3/(1+1/(DATOS!E$6))))</f>
        <v>0</v>
      </c>
      <c r="AX12" s="116">
        <f t="shared" si="18"/>
        <v>884954.0642909829</v>
      </c>
      <c r="AY12" s="116">
        <f t="shared" si="44"/>
        <v>340728.48907918739</v>
      </c>
      <c r="AZ12" s="116">
        <f t="shared" si="19"/>
        <v>9.919565426225617</v>
      </c>
      <c r="BA12" s="116">
        <f t="shared" si="20"/>
        <v>6.1930384000047773</v>
      </c>
      <c r="BB12" s="116">
        <f t="shared" si="21"/>
        <v>1055072.3084215079</v>
      </c>
      <c r="BC12" s="116">
        <f>EDisponible!H25</f>
        <v>0.14760156319535001</v>
      </c>
      <c r="BD12" s="116">
        <f t="shared" si="45"/>
        <v>-0.65239843680465004</v>
      </c>
      <c r="BE12" s="116">
        <f>IF(BD12&lt;0, 0, 0.00035*(10*BD12/((1/COS(M$1))-0.8))^(3/(1+1/(DATOS!E$6))))</f>
        <v>0</v>
      </c>
      <c r="BF12" s="116">
        <f t="shared" si="22"/>
        <v>1055072.3084215079</v>
      </c>
      <c r="BG12" s="116">
        <f t="shared" si="46"/>
        <v>283355.23154002626</v>
      </c>
      <c r="BH12" s="116">
        <f t="shared" si="23"/>
        <v>11.928061188884612</v>
      </c>
      <c r="BI12" s="116">
        <f t="shared" si="24"/>
        <v>8.9489941459711861</v>
      </c>
      <c r="BJ12" s="116">
        <f t="shared" si="25"/>
        <v>1267872.1541410026</v>
      </c>
      <c r="BK12" s="116">
        <f>EDisponible!I25</f>
        <v>0.15083827848498327</v>
      </c>
      <c r="BL12" s="116">
        <f t="shared" si="47"/>
        <v>-0.64916172151501672</v>
      </c>
      <c r="BM12" s="116">
        <f>IF(BL12&lt;0, 0, 0.00035*(10*BL12/((1/COS(M$1))-0.8))^(3/(1+1/(DATOS!E$6))))</f>
        <v>0</v>
      </c>
      <c r="BN12" s="116">
        <f t="shared" si="26"/>
        <v>1267872.1541410026</v>
      </c>
    </row>
    <row r="13" spans="1:66">
      <c r="A13" s="41">
        <f>EDisponible!A26</f>
        <v>50</v>
      </c>
      <c r="B13" s="44"/>
      <c r="C13" s="116">
        <f t="shared" si="0"/>
        <v>1103705.0818202742</v>
      </c>
      <c r="D13" s="116">
        <f t="shared" si="1"/>
        <v>3.0623022360518357</v>
      </c>
      <c r="E13" s="116">
        <f t="shared" si="2"/>
        <v>0.60209557605544062</v>
      </c>
      <c r="F13" s="116">
        <f t="shared" si="3"/>
        <v>332267.97351694759</v>
      </c>
      <c r="G13" s="116">
        <f>EDisponible!B26</f>
        <v>0.14641054607542789</v>
      </c>
      <c r="H13" s="116">
        <f t="shared" si="27"/>
        <v>-0.65358945392457213</v>
      </c>
      <c r="I13" s="116">
        <f>IF(H13&lt;0, 0, 0.00035*(10*H13/((1/COS(M$1))-0.8))^(3/(1+1/(DATOS!E$6))))</f>
        <v>0</v>
      </c>
      <c r="J13" s="116">
        <f t="shared" si="28"/>
        <v>332267.97351694759</v>
      </c>
      <c r="K13" s="116">
        <f t="shared" si="29"/>
        <v>953450.90493213071</v>
      </c>
      <c r="L13" s="11">
        <f t="shared" si="4"/>
        <v>3.5448899597411252</v>
      </c>
      <c r="M13" s="116">
        <f t="shared" si="5"/>
        <v>0.80235375604832304</v>
      </c>
      <c r="N13" s="116">
        <f t="shared" si="6"/>
        <v>382502.45738998381</v>
      </c>
      <c r="O13" s="116">
        <f>EDisponible!C26</f>
        <v>0.14895224626024214</v>
      </c>
      <c r="P13" s="116">
        <f t="shared" si="30"/>
        <v>-0.65104775373975787</v>
      </c>
      <c r="Q13" s="116">
        <f>IF(P13&lt;0, 0, 0.00035*(10*P13/((1/COS(M$1))-0.8))^(3/(1+1/(DATOS!E$6))))</f>
        <v>0</v>
      </c>
      <c r="R13" s="116">
        <f t="shared" si="31"/>
        <v>382502.45738998381</v>
      </c>
      <c r="S13" s="116">
        <f t="shared" si="32"/>
        <v>819370.41981416254</v>
      </c>
      <c r="T13" s="116">
        <f t="shared" si="7"/>
        <v>4.1249701701052057</v>
      </c>
      <c r="U13" s="116">
        <f t="shared" si="8"/>
        <v>1.0817834457638347</v>
      </c>
      <c r="V13" s="116">
        <f t="shared" si="9"/>
        <v>443190.67805176228</v>
      </c>
      <c r="W13" s="116">
        <f>EDisponible!D26</f>
        <v>0.15163108757131241</v>
      </c>
      <c r="X13" s="116">
        <f t="shared" si="33"/>
        <v>-0.64836891242868766</v>
      </c>
      <c r="Y13" s="116">
        <f>IF(X13&lt;0, 0, 0.00035*(10*X13/((1/COS(M$1))-0.8))^(3/(1+1/(DATOS!E$6))))</f>
        <v>0</v>
      </c>
      <c r="Z13" s="116">
        <f t="shared" si="34"/>
        <v>443190.67805176228</v>
      </c>
      <c r="AA13" s="116">
        <f t="shared" si="35"/>
        <v>700215.469641887</v>
      </c>
      <c r="AB13" s="116">
        <f t="shared" si="10"/>
        <v>4.8269121242473831</v>
      </c>
      <c r="AC13" s="116">
        <f t="shared" si="11"/>
        <v>1.4764339103067536</v>
      </c>
      <c r="AD13" s="116">
        <f t="shared" si="36"/>
        <v>516910.93195032561</v>
      </c>
      <c r="AE13" s="116">
        <f>EDisponible!E26</f>
        <v>0.15445986367189682</v>
      </c>
      <c r="AF13" s="116">
        <f t="shared" si="37"/>
        <v>-0.64554013632810325</v>
      </c>
      <c r="AG13" s="116">
        <f>IF(AF13&lt;0, 0, 0.00035*(10*AF13/((1/COS(M$1))-0.8))^(3/(1+1/(DATOS!E$6))))</f>
        <v>0</v>
      </c>
      <c r="AH13" s="116">
        <f t="shared" si="38"/>
        <v>516910.93195032561</v>
      </c>
      <c r="AI13" s="116">
        <f t="shared" si="39"/>
        <v>594793.45406140201</v>
      </c>
      <c r="AJ13" s="116">
        <f t="shared" si="12"/>
        <v>5.6824407143712223</v>
      </c>
      <c r="AK13" s="116">
        <f t="shared" si="13"/>
        <v>2.041120605665431</v>
      </c>
      <c r="AL13" s="116">
        <f t="shared" si="14"/>
        <v>607022.58759982127</v>
      </c>
      <c r="AM13" s="116">
        <f>EDisponible!F26</f>
        <v>0.15745310399953094</v>
      </c>
      <c r="AN13" s="116">
        <f t="shared" si="40"/>
        <v>-0.6425468960004691</v>
      </c>
      <c r="AO13" s="116">
        <f>IF(AN13&lt;0, 0, 0.00035*(10*AN13/((1/COS(M$1))-0.8))^(3/(1+1/(DATOS!E$6))))</f>
        <v>0</v>
      </c>
      <c r="AP13" s="116">
        <f t="shared" si="41"/>
        <v>607022.58759982127</v>
      </c>
      <c r="AQ13" s="116">
        <f t="shared" si="42"/>
        <v>501966.80633873184</v>
      </c>
      <c r="AR13" s="116">
        <f t="shared" si="15"/>
        <v>6.7332709998342537</v>
      </c>
      <c r="AS13" s="116">
        <f t="shared" si="16"/>
        <v>2.8605305979500035</v>
      </c>
      <c r="AT13" s="116">
        <f t="shared" si="17"/>
        <v>717945.7043435931</v>
      </c>
      <c r="AU13" s="116">
        <f>EDisponible!G26</f>
        <v>0.16062738878409338</v>
      </c>
      <c r="AV13" s="116">
        <f t="shared" si="43"/>
        <v>-0.63937261121590661</v>
      </c>
      <c r="AW13" s="116">
        <f>IF(AV13&lt;0, 0, 0.00035*(10*AV13/((1/COS(M$1))-0.8))^(3/(1+1/(DATOS!E$6))))</f>
        <v>0</v>
      </c>
      <c r="AX13" s="116">
        <f t="shared" si="18"/>
        <v>717945.7043435931</v>
      </c>
      <c r="AY13" s="116">
        <f t="shared" si="44"/>
        <v>420652.45565331774</v>
      </c>
      <c r="AZ13" s="116">
        <f t="shared" si="19"/>
        <v>8.0348479952427496</v>
      </c>
      <c r="BA13" s="116">
        <f t="shared" si="20"/>
        <v>4.067766387407346</v>
      </c>
      <c r="BB13" s="116">
        <f t="shared" si="21"/>
        <v>855557.95994346251</v>
      </c>
      <c r="BC13" s="116">
        <f>EDisponible!H26</f>
        <v>0.16400173688372222</v>
      </c>
      <c r="BD13" s="116">
        <f t="shared" si="45"/>
        <v>-0.63599826311627783</v>
      </c>
      <c r="BE13" s="116">
        <f>IF(BD13&lt;0, 0, 0.00035*(10*BD13/((1/COS(M$1))-0.8))^(3/(1+1/(DATOS!E$6))))</f>
        <v>0</v>
      </c>
      <c r="BF13" s="116">
        <f t="shared" si="22"/>
        <v>855557.95994346251</v>
      </c>
      <c r="BG13" s="116">
        <f t="shared" si="46"/>
        <v>349821.2735062053</v>
      </c>
      <c r="BH13" s="116">
        <f t="shared" si="23"/>
        <v>9.6617295629965341</v>
      </c>
      <c r="BI13" s="116">
        <f t="shared" si="24"/>
        <v>5.8759489523359036</v>
      </c>
      <c r="BJ13" s="116">
        <f t="shared" si="25"/>
        <v>1027765.9727817993</v>
      </c>
      <c r="BK13" s="116">
        <f>EDisponible!I26</f>
        <v>0.16759808720553696</v>
      </c>
      <c r="BL13" s="116">
        <f t="shared" si="47"/>
        <v>-0.63240191279446312</v>
      </c>
      <c r="BM13" s="116">
        <f>IF(BL13&lt;0, 0, 0.00035*(10*BL13/((1/COS(M$1))-0.8))^(3/(1+1/(DATOS!E$6))))</f>
        <v>0</v>
      </c>
      <c r="BN13" s="116">
        <f t="shared" si="26"/>
        <v>1027765.9727817993</v>
      </c>
    </row>
    <row r="14" spans="1:66">
      <c r="A14" s="41">
        <f>EDisponible!A27</f>
        <v>55</v>
      </c>
      <c r="B14" s="44"/>
      <c r="C14" s="116">
        <f t="shared" si="0"/>
        <v>1335483.1490025318</v>
      </c>
      <c r="D14" s="116">
        <f t="shared" si="1"/>
        <v>2.5308282942577156</v>
      </c>
      <c r="E14" s="116">
        <f t="shared" si="2"/>
        <v>0.41540001782900787</v>
      </c>
      <c r="F14" s="116">
        <f t="shared" si="3"/>
        <v>277379.86195299565</v>
      </c>
      <c r="G14" s="116">
        <f>EDisponible!B27</f>
        <v>0.16105160068297067</v>
      </c>
      <c r="H14" s="116">
        <f t="shared" si="27"/>
        <v>-0.6389483993170294</v>
      </c>
      <c r="I14" s="116">
        <f>IF(H14&lt;0, 0, 0.00035*(10*H14/((1/COS(M$1))-0.8))^(3/(1+1/(DATOS!E$6))))</f>
        <v>0</v>
      </c>
      <c r="J14" s="116">
        <f t="shared" si="28"/>
        <v>277379.86195299565</v>
      </c>
      <c r="K14" s="116">
        <f t="shared" si="29"/>
        <v>1153675.594967878</v>
      </c>
      <c r="L14" s="11">
        <f t="shared" si="4"/>
        <v>2.9296611237529966</v>
      </c>
      <c r="M14" s="116">
        <f t="shared" si="5"/>
        <v>0.55217904931106698</v>
      </c>
      <c r="N14" s="116">
        <f t="shared" si="6"/>
        <v>318517.74662137119</v>
      </c>
      <c r="O14" s="116">
        <f>EDisponible!C27</f>
        <v>0.16384747088626636</v>
      </c>
      <c r="P14" s="116">
        <f t="shared" si="30"/>
        <v>-0.63615252911373366</v>
      </c>
      <c r="Q14" s="116">
        <f>IF(P14&lt;0, 0, 0.00035*(10*P14/((1/COS(M$1))-0.8))^(3/(1+1/(DATOS!E$6))))</f>
        <v>0</v>
      </c>
      <c r="R14" s="116">
        <f t="shared" si="31"/>
        <v>318517.74662137119</v>
      </c>
      <c r="S14" s="116">
        <f t="shared" si="32"/>
        <v>991438.2079751367</v>
      </c>
      <c r="T14" s="116">
        <f t="shared" si="7"/>
        <v>3.409066256285294</v>
      </c>
      <c r="U14" s="116">
        <f t="shared" si="8"/>
        <v>0.74303328721524786</v>
      </c>
      <c r="V14" s="116">
        <f t="shared" si="9"/>
        <v>368335.79537128017</v>
      </c>
      <c r="W14" s="116">
        <f>EDisponible!D27</f>
        <v>0.16679419632844367</v>
      </c>
      <c r="X14" s="116">
        <f t="shared" si="33"/>
        <v>-0.63320580367155643</v>
      </c>
      <c r="Y14" s="116">
        <f>IF(X14&lt;0, 0, 0.00035*(10*X14/((1/COS(M$1))-0.8))^(3/(1+1/(DATOS!E$6))))</f>
        <v>0</v>
      </c>
      <c r="Z14" s="116">
        <f t="shared" si="34"/>
        <v>368335.79537128017</v>
      </c>
      <c r="AA14" s="116">
        <f t="shared" si="35"/>
        <v>847260.71826668328</v>
      </c>
      <c r="AB14" s="116">
        <f t="shared" si="10"/>
        <v>3.9891835737581682</v>
      </c>
      <c r="AC14" s="116">
        <f t="shared" si="11"/>
        <v>1.0125848646641376</v>
      </c>
      <c r="AD14" s="116">
        <f t="shared" si="36"/>
        <v>428961.68987065472</v>
      </c>
      <c r="AE14" s="116">
        <f>EDisponible!E27</f>
        <v>0.16990585003908651</v>
      </c>
      <c r="AF14" s="116">
        <f t="shared" si="37"/>
        <v>-0.63009414996091351</v>
      </c>
      <c r="AG14" s="116">
        <f>IF(AF14&lt;0, 0, 0.00035*(10*AF14/((1/COS(M$1))-0.8))^(3/(1+1/(DATOS!E$6))))</f>
        <v>0</v>
      </c>
      <c r="AH14" s="116">
        <f t="shared" si="38"/>
        <v>428961.68987065472</v>
      </c>
      <c r="AI14" s="116">
        <f t="shared" si="39"/>
        <v>719700.07941429643</v>
      </c>
      <c r="AJ14" s="116">
        <f t="shared" si="12"/>
        <v>4.6962319953481177</v>
      </c>
      <c r="AK14" s="116">
        <f t="shared" si="13"/>
        <v>1.3982734756597508</v>
      </c>
      <c r="AL14" s="116">
        <f t="shared" si="14"/>
        <v>503168.76573761349</v>
      </c>
      <c r="AM14" s="116">
        <f>EDisponible!F27</f>
        <v>0.17319841439948405</v>
      </c>
      <c r="AN14" s="116">
        <f t="shared" si="40"/>
        <v>-0.62680158560051602</v>
      </c>
      <c r="AO14" s="116">
        <f>IF(AN14&lt;0, 0, 0.00035*(10*AN14/((1/COS(M$1))-0.8))^(3/(1+1/(DATOS!E$6))))</f>
        <v>0</v>
      </c>
      <c r="AP14" s="116">
        <f t="shared" si="41"/>
        <v>503168.76573761349</v>
      </c>
      <c r="AQ14" s="116">
        <f t="shared" si="42"/>
        <v>607379.83566986548</v>
      </c>
      <c r="AR14" s="116">
        <f t="shared" si="15"/>
        <v>5.5646867767225237</v>
      </c>
      <c r="AS14" s="116">
        <f t="shared" si="16"/>
        <v>1.9579415258507022</v>
      </c>
      <c r="AT14" s="116">
        <f t="shared" si="17"/>
        <v>594607.10111120262</v>
      </c>
      <c r="AU14" s="116">
        <f>EDisponible!G27</f>
        <v>0.17669012766250272</v>
      </c>
      <c r="AV14" s="116">
        <f t="shared" si="43"/>
        <v>-0.62330987233749735</v>
      </c>
      <c r="AW14" s="116">
        <f>IF(AV14&lt;0, 0, 0.00035*(10*AV14/((1/COS(M$1))-0.8))^(3/(1+1/(DATOS!E$6))))</f>
        <v>0</v>
      </c>
      <c r="AX14" s="116">
        <f t="shared" si="18"/>
        <v>594607.10111120262</v>
      </c>
      <c r="AY14" s="116">
        <f t="shared" si="44"/>
        <v>508989.47134051454</v>
      </c>
      <c r="AZ14" s="116">
        <f t="shared" si="19"/>
        <v>6.6403702440022725</v>
      </c>
      <c r="BA14" s="116">
        <f t="shared" si="20"/>
        <v>2.7824998138483408</v>
      </c>
      <c r="BB14" s="116">
        <f t="shared" si="21"/>
        <v>708131.55462787359</v>
      </c>
      <c r="BC14" s="116">
        <f>EDisponible!H27</f>
        <v>0.18040191057209443</v>
      </c>
      <c r="BD14" s="116">
        <f t="shared" si="45"/>
        <v>-0.61959808942790562</v>
      </c>
      <c r="BE14" s="116">
        <f>IF(BD14&lt;0, 0, 0.00035*(10*BD14/((1/COS(M$1))-0.8))^(3/(1+1/(DATOS!E$6))))</f>
        <v>0</v>
      </c>
      <c r="BF14" s="116">
        <f t="shared" si="22"/>
        <v>708131.55462787359</v>
      </c>
      <c r="BG14" s="116">
        <f t="shared" si="46"/>
        <v>423283.74094250839</v>
      </c>
      <c r="BH14" s="116">
        <f t="shared" si="23"/>
        <v>7.9849004652863922</v>
      </c>
      <c r="BI14" s="116">
        <f t="shared" si="24"/>
        <v>4.0175128354510719</v>
      </c>
      <c r="BJ14" s="116">
        <f t="shared" si="25"/>
        <v>850273.93113713688</v>
      </c>
      <c r="BK14" s="116">
        <f>EDisponible!I27</f>
        <v>0.18435789592609067</v>
      </c>
      <c r="BL14" s="116">
        <f t="shared" si="47"/>
        <v>-0.6156421040739094</v>
      </c>
      <c r="BM14" s="116">
        <f>IF(BL14&lt;0, 0, 0.00035*(10*BL14/((1/COS(M$1))-0.8))^(3/(1+1/(DATOS!E$6))))</f>
        <v>0</v>
      </c>
      <c r="BN14" s="116">
        <f t="shared" si="26"/>
        <v>850273.93113713688</v>
      </c>
    </row>
    <row r="15" spans="1:66">
      <c r="A15" s="41">
        <f>EDisponible!A28</f>
        <v>60</v>
      </c>
      <c r="B15" s="44"/>
      <c r="C15" s="116">
        <f t="shared" si="0"/>
        <v>1589335.3178211949</v>
      </c>
      <c r="D15" s="116">
        <f t="shared" si="1"/>
        <v>2.1265987750359971</v>
      </c>
      <c r="E15" s="116">
        <f t="shared" si="2"/>
        <v>0.29715818774389408</v>
      </c>
      <c r="F15" s="116">
        <f t="shared" si="3"/>
        <v>236142.00138055609</v>
      </c>
      <c r="G15" s="116">
        <f>EDisponible!B28</f>
        <v>0.17569265529051345</v>
      </c>
      <c r="H15" s="116">
        <f t="shared" si="27"/>
        <v>-0.62430734470948657</v>
      </c>
      <c r="I15" s="116">
        <f>IF(H15&lt;0, 0, 0.00035*(10*H15/((1/COS(M$1))-0.8))^(3/(1+1/(DATOS!E$6))))</f>
        <v>0</v>
      </c>
      <c r="J15" s="116">
        <f t="shared" si="28"/>
        <v>236142.00138055609</v>
      </c>
      <c r="K15" s="116">
        <f t="shared" si="29"/>
        <v>1372969.3031022681</v>
      </c>
      <c r="L15" s="11">
        <f t="shared" si="4"/>
        <v>2.4617291387091149</v>
      </c>
      <c r="M15" s="116">
        <f t="shared" si="5"/>
        <v>0.39373331312626414</v>
      </c>
      <c r="N15" s="116">
        <f t="shared" si="6"/>
        <v>270291.87626555702</v>
      </c>
      <c r="O15" s="116">
        <f>EDisponible!C28</f>
        <v>0.17874269551229055</v>
      </c>
      <c r="P15" s="116">
        <f t="shared" si="30"/>
        <v>-0.62125730448770944</v>
      </c>
      <c r="Q15" s="116">
        <f>IF(P15&lt;0, 0, 0.00035*(10*P15/((1/COS(M$1))-0.8))^(3/(1+1/(DATOS!E$6))))</f>
        <v>0</v>
      </c>
      <c r="R15" s="116">
        <f t="shared" si="31"/>
        <v>270291.87626555702</v>
      </c>
      <c r="S15" s="116">
        <f t="shared" si="32"/>
        <v>1179893.4045323941</v>
      </c>
      <c r="T15" s="116">
        <f t="shared" si="7"/>
        <v>2.8645626181286152</v>
      </c>
      <c r="U15" s="116">
        <f t="shared" si="8"/>
        <v>0.52848914342888353</v>
      </c>
      <c r="V15" s="116">
        <f t="shared" si="9"/>
        <v>311780.42734935705</v>
      </c>
      <c r="W15" s="116">
        <f>EDisponible!D28</f>
        <v>0.18195730508557489</v>
      </c>
      <c r="X15" s="116">
        <f t="shared" si="33"/>
        <v>-0.61804269491442509</v>
      </c>
      <c r="Y15" s="116">
        <f>IF(X15&lt;0, 0, 0.00035*(10*X15/((1/COS(M$1))-0.8))^(3/(1+1/(DATOS!E$6))))</f>
        <v>0</v>
      </c>
      <c r="Z15" s="116">
        <f t="shared" si="34"/>
        <v>311780.42734935705</v>
      </c>
      <c r="AA15" s="116">
        <f t="shared" si="35"/>
        <v>1008310.2762843173</v>
      </c>
      <c r="AB15" s="116">
        <f t="shared" si="10"/>
        <v>3.3520223085051275</v>
      </c>
      <c r="AC15" s="116">
        <f t="shared" si="11"/>
        <v>0.71881054801169564</v>
      </c>
      <c r="AD15" s="116">
        <f t="shared" si="36"/>
        <v>362392.03113087715</v>
      </c>
      <c r="AE15" s="116">
        <f>EDisponible!E28</f>
        <v>0.1853518364062762</v>
      </c>
      <c r="AF15" s="116">
        <f t="shared" si="37"/>
        <v>-0.61464816359372387</v>
      </c>
      <c r="AG15" s="116">
        <f>IF(AF15&lt;0, 0, 0.00035*(10*AF15/((1/COS(M$1))-0.8))^(3/(1+1/(DATOS!E$6))))</f>
        <v>0</v>
      </c>
      <c r="AH15" s="116">
        <f t="shared" si="38"/>
        <v>362392.03113087715</v>
      </c>
      <c r="AI15" s="116">
        <f t="shared" si="39"/>
        <v>856502.57384841889</v>
      </c>
      <c r="AJ15" s="116">
        <f t="shared" si="12"/>
        <v>3.9461393849800155</v>
      </c>
      <c r="AK15" s="116">
        <f t="shared" si="13"/>
        <v>0.9911324497085886</v>
      </c>
      <c r="AL15" s="116">
        <f t="shared" si="14"/>
        <v>424453.74710004736</v>
      </c>
      <c r="AM15" s="116">
        <f>EDisponible!F28</f>
        <v>0.18894372479943713</v>
      </c>
      <c r="AN15" s="116">
        <f t="shared" si="40"/>
        <v>-0.61105627520056294</v>
      </c>
      <c r="AO15" s="116">
        <f>IF(AN15&lt;0, 0, 0.00035*(10*AN15/((1/COS(M$1))-0.8))^(3/(1+1/(DATOS!E$6))))</f>
        <v>0</v>
      </c>
      <c r="AP15" s="116">
        <f t="shared" si="41"/>
        <v>424453.74710004736</v>
      </c>
      <c r="AQ15" s="116">
        <f t="shared" si="42"/>
        <v>722832.20112777385</v>
      </c>
      <c r="AR15" s="116">
        <f t="shared" si="15"/>
        <v>4.6758826387737873</v>
      </c>
      <c r="AS15" s="116">
        <f t="shared" si="16"/>
        <v>1.3862954475310096</v>
      </c>
      <c r="AT15" s="116">
        <f t="shared" si="17"/>
        <v>501029.494876126</v>
      </c>
      <c r="AU15" s="116">
        <f>EDisponible!G28</f>
        <v>0.19275286654091206</v>
      </c>
      <c r="AV15" s="116">
        <f t="shared" si="43"/>
        <v>-0.60724713345908798</v>
      </c>
      <c r="AW15" s="116">
        <f>IF(AV15&lt;0, 0, 0.00035*(10*AV15/((1/COS(M$1))-0.8))^(3/(1+1/(DATOS!E$6))))</f>
        <v>0</v>
      </c>
      <c r="AX15" s="116">
        <f t="shared" si="18"/>
        <v>501029.494876126</v>
      </c>
      <c r="AY15" s="116">
        <f t="shared" si="44"/>
        <v>605739.53614077764</v>
      </c>
      <c r="AZ15" s="116">
        <f t="shared" si="19"/>
        <v>5.5797555522519096</v>
      </c>
      <c r="BA15" s="116">
        <f t="shared" si="20"/>
        <v>1.9684886330332005</v>
      </c>
      <c r="BB15" s="116">
        <f t="shared" si="21"/>
        <v>596195.69573596213</v>
      </c>
      <c r="BC15" s="116">
        <f>EDisponible!H28</f>
        <v>0.19680208426046666</v>
      </c>
      <c r="BD15" s="116">
        <f t="shared" si="45"/>
        <v>-0.60319791573953341</v>
      </c>
      <c r="BE15" s="116">
        <f>IF(BD15&lt;0, 0, 0.00035*(10*BD15/((1/COS(M$1))-0.8))^(3/(1+1/(DATOS!E$6))))</f>
        <v>0</v>
      </c>
      <c r="BF15" s="116">
        <f t="shared" si="22"/>
        <v>596195.69573596213</v>
      </c>
      <c r="BG15" s="116">
        <f t="shared" si="46"/>
        <v>503742.63384893554</v>
      </c>
      <c r="BH15" s="116">
        <f t="shared" si="23"/>
        <v>6.7095344187475945</v>
      </c>
      <c r="BI15" s="116">
        <f t="shared" si="24"/>
        <v>2.8404902557803844</v>
      </c>
      <c r="BJ15" s="116">
        <f t="shared" si="25"/>
        <v>715438.02143452375</v>
      </c>
      <c r="BK15" s="116">
        <f>EDisponible!I28</f>
        <v>0.20111770464664436</v>
      </c>
      <c r="BL15" s="116">
        <f t="shared" si="47"/>
        <v>-0.59888229535335569</v>
      </c>
      <c r="BM15" s="116">
        <f>IF(BL15&lt;0, 0, 0.00035*(10*BL15/((1/COS(M$1))-0.8))^(3/(1+1/(DATOS!E$6))))</f>
        <v>0</v>
      </c>
      <c r="BN15" s="116">
        <f t="shared" si="26"/>
        <v>715438.02143452375</v>
      </c>
    </row>
    <row r="16" spans="1:66">
      <c r="A16" s="41">
        <f>EDisponible!A29</f>
        <v>65</v>
      </c>
      <c r="B16" s="44"/>
      <c r="C16" s="116">
        <f t="shared" si="0"/>
        <v>1865261.5882762636</v>
      </c>
      <c r="D16" s="116">
        <f t="shared" si="1"/>
        <v>1.8120131574271217</v>
      </c>
      <c r="E16" s="116">
        <f t="shared" si="2"/>
        <v>0.2193403587297606</v>
      </c>
      <c r="F16" s="116">
        <f t="shared" si="3"/>
        <v>204563.57294867933</v>
      </c>
      <c r="G16" s="116">
        <f>EDisponible!B29</f>
        <v>0.19033370989805626</v>
      </c>
      <c r="H16" s="116">
        <f t="shared" si="27"/>
        <v>-0.60966629010194384</v>
      </c>
      <c r="I16" s="116">
        <f>IF(H16&lt;0, 0, 0.00035*(10*H16/((1/COS(M$1))-0.8))^(3/(1+1/(DATOS!E$6))))</f>
        <v>0</v>
      </c>
      <c r="J16" s="116">
        <f t="shared" si="28"/>
        <v>204563.57294867933</v>
      </c>
      <c r="K16" s="116">
        <f t="shared" si="29"/>
        <v>1611332.0293353009</v>
      </c>
      <c r="L16" s="11">
        <f t="shared" si="4"/>
        <v>2.0975680235154588</v>
      </c>
      <c r="M16" s="116">
        <f t="shared" si="5"/>
        <v>0.28945631405096173</v>
      </c>
      <c r="N16" s="116">
        <f t="shared" si="6"/>
        <v>233205.11496182616</v>
      </c>
      <c r="O16" s="116">
        <f>EDisponible!C29</f>
        <v>0.19363792013831477</v>
      </c>
      <c r="P16" s="116">
        <f t="shared" si="30"/>
        <v>-0.60636207986168533</v>
      </c>
      <c r="Q16" s="116">
        <f>IF(P16&lt;0, 0, 0.00035*(10*P16/((1/COS(M$1))-0.8))^(3/(1+1/(DATOS!E$6))))</f>
        <v>0</v>
      </c>
      <c r="R16" s="116">
        <f t="shared" si="31"/>
        <v>233205.11496182616</v>
      </c>
      <c r="S16" s="116">
        <f t="shared" si="32"/>
        <v>1384736.0094859346</v>
      </c>
      <c r="T16" s="116">
        <f t="shared" si="7"/>
        <v>2.4408107515415423</v>
      </c>
      <c r="U16" s="116">
        <f t="shared" si="8"/>
        <v>0.38729241562846672</v>
      </c>
      <c r="V16" s="116">
        <f t="shared" si="9"/>
        <v>268148.87706076552</v>
      </c>
      <c r="W16" s="116">
        <f>EDisponible!D29</f>
        <v>0.19712041384270615</v>
      </c>
      <c r="X16" s="116">
        <f t="shared" si="33"/>
        <v>-0.60287958615729387</v>
      </c>
      <c r="Y16" s="116">
        <f>IF(X16&lt;0, 0, 0.00035*(10*X16/((1/COS(M$1))-0.8))^(3/(1+1/(DATOS!E$6))))</f>
        <v>0</v>
      </c>
      <c r="Z16" s="116">
        <f t="shared" si="34"/>
        <v>268148.87706076552</v>
      </c>
      <c r="AA16" s="116">
        <f t="shared" si="35"/>
        <v>1183364.1436947891</v>
      </c>
      <c r="AB16" s="116">
        <f t="shared" si="10"/>
        <v>2.8561610202647238</v>
      </c>
      <c r="AC16" s="116">
        <f t="shared" si="11"/>
        <v>0.52547051322411076</v>
      </c>
      <c r="AD16" s="116">
        <f t="shared" si="36"/>
        <v>310911.48195915559</v>
      </c>
      <c r="AE16" s="116">
        <f>EDisponible!E29</f>
        <v>0.20079782277346589</v>
      </c>
      <c r="AF16" s="116">
        <f t="shared" si="37"/>
        <v>-0.59920217722653413</v>
      </c>
      <c r="AG16" s="116">
        <f>IF(AF16&lt;0, 0, 0.00035*(10*AF16/((1/COS(M$1))-0.8))^(3/(1+1/(DATOS!E$6))))</f>
        <v>0</v>
      </c>
      <c r="AH16" s="116">
        <f t="shared" si="38"/>
        <v>310911.48195915559</v>
      </c>
      <c r="AI16" s="116">
        <f t="shared" si="39"/>
        <v>1005200.9373637693</v>
      </c>
      <c r="AJ16" s="116">
        <f t="shared" si="12"/>
        <v>3.3623909552492446</v>
      </c>
      <c r="AK16" s="116">
        <f t="shared" si="13"/>
        <v>0.72318302166522908</v>
      </c>
      <c r="AL16" s="116">
        <f t="shared" si="14"/>
        <v>363472.12563172565</v>
      </c>
      <c r="AM16" s="116">
        <f>EDisponible!F29</f>
        <v>0.20468903519939025</v>
      </c>
      <c r="AN16" s="116">
        <f t="shared" si="40"/>
        <v>-0.59531096480060985</v>
      </c>
      <c r="AO16" s="116">
        <f>IF(AN16&lt;0, 0, 0.00035*(10*AN16/((1/COS(M$1))-0.8))^(3/(1+1/(DATOS!E$6))))</f>
        <v>0</v>
      </c>
      <c r="AP16" s="116">
        <f t="shared" si="41"/>
        <v>363472.12563172565</v>
      </c>
      <c r="AQ16" s="116">
        <f t="shared" si="42"/>
        <v>848323.90271245688</v>
      </c>
      <c r="AR16" s="116">
        <f t="shared" si="15"/>
        <v>3.9841840235705637</v>
      </c>
      <c r="AS16" s="116">
        <f t="shared" si="16"/>
        <v>1.0100812368133578</v>
      </c>
      <c r="AT16" s="116">
        <f t="shared" si="17"/>
        <v>428438.02843506652</v>
      </c>
      <c r="AU16" s="116">
        <f>EDisponible!G29</f>
        <v>0.2088156054193214</v>
      </c>
      <c r="AV16" s="116">
        <f t="shared" si="43"/>
        <v>-0.59118439458067862</v>
      </c>
      <c r="AW16" s="116">
        <f>IF(AV16&lt;0, 0, 0.00035*(10*AV16/((1/COS(M$1))-0.8))^(3/(1+1/(DATOS!E$6))))</f>
        <v>0</v>
      </c>
      <c r="AX16" s="116">
        <f t="shared" si="18"/>
        <v>428438.02843506652</v>
      </c>
      <c r="AY16" s="116">
        <f t="shared" si="44"/>
        <v>710902.65005410707</v>
      </c>
      <c r="AZ16" s="116">
        <f t="shared" si="19"/>
        <v>4.7543479261791415</v>
      </c>
      <c r="BA16" s="116">
        <f t="shared" si="20"/>
        <v>1.4327680438079808</v>
      </c>
      <c r="BB16" s="116">
        <f t="shared" si="21"/>
        <v>509279.29962796625</v>
      </c>
      <c r="BC16" s="116">
        <f>EDisponible!H29</f>
        <v>0.21320225794883887</v>
      </c>
      <c r="BD16" s="116">
        <f t="shared" si="45"/>
        <v>-0.5867977420511612</v>
      </c>
      <c r="BE16" s="116">
        <f>IF(BD16&lt;0, 0, 0.00035*(10*BD16/((1/COS(M$1))-0.8))^(3/(1+1/(DATOS!E$6))))</f>
        <v>0</v>
      </c>
      <c r="BF16" s="116">
        <f t="shared" si="22"/>
        <v>509279.29962796625</v>
      </c>
      <c r="BG16" s="116">
        <f t="shared" si="46"/>
        <v>591197.95222548686</v>
      </c>
      <c r="BH16" s="116">
        <f t="shared" si="23"/>
        <v>5.7169997414180687</v>
      </c>
      <c r="BI16" s="116">
        <f t="shared" si="24"/>
        <v>2.0658630211997253</v>
      </c>
      <c r="BJ16" s="116">
        <f t="shared" si="25"/>
        <v>610666.99385581759</v>
      </c>
      <c r="BK16" s="116">
        <f>EDisponible!I29</f>
        <v>0.21787751336719804</v>
      </c>
      <c r="BL16" s="116">
        <f t="shared" si="47"/>
        <v>-0.58212248663280197</v>
      </c>
      <c r="BM16" s="116">
        <f>IF(BL16&lt;0, 0, 0.00035*(10*BL16/((1/COS(M$1))-0.8))^(3/(1+1/(DATOS!E$6))))</f>
        <v>0</v>
      </c>
      <c r="BN16" s="116">
        <f t="shared" si="26"/>
        <v>610666.99385581759</v>
      </c>
    </row>
    <row r="17" spans="1:66">
      <c r="A17" s="41">
        <f>EDisponible!A30</f>
        <v>70</v>
      </c>
      <c r="B17" s="44"/>
      <c r="C17" s="116">
        <f t="shared" si="0"/>
        <v>2163261.9603677378</v>
      </c>
      <c r="D17" s="116">
        <f t="shared" si="1"/>
        <v>1.5623991000264466</v>
      </c>
      <c r="E17" s="116">
        <f t="shared" si="2"/>
        <v>0.16643931576204968</v>
      </c>
      <c r="F17" s="116">
        <f t="shared" si="3"/>
        <v>180025.92024883826</v>
      </c>
      <c r="G17" s="116">
        <f>EDisponible!B30</f>
        <v>0.20497476450559904</v>
      </c>
      <c r="H17" s="116">
        <f t="shared" si="27"/>
        <v>-0.59502523549440101</v>
      </c>
      <c r="I17" s="116">
        <f>IF(H17&lt;0, 0, 0.00035*(10*H17/((1/COS(M$1))-0.8))^(3/(1+1/(DATOS!E$6))))</f>
        <v>0</v>
      </c>
      <c r="J17" s="116">
        <f t="shared" si="28"/>
        <v>180025.92024883826</v>
      </c>
      <c r="K17" s="116">
        <f t="shared" si="29"/>
        <v>1868763.7736669763</v>
      </c>
      <c r="L17" s="11">
        <f t="shared" si="4"/>
        <v>1.808617326398533</v>
      </c>
      <c r="M17" s="116">
        <f t="shared" si="5"/>
        <v>0.21856816311546556</v>
      </c>
      <c r="N17" s="116">
        <f t="shared" si="6"/>
        <v>204226.13265355831</v>
      </c>
      <c r="O17" s="116">
        <f>EDisponible!C30</f>
        <v>0.20853314476433898</v>
      </c>
      <c r="P17" s="116">
        <f t="shared" si="30"/>
        <v>-0.591466855235661</v>
      </c>
      <c r="Q17" s="116">
        <f>IF(P17&lt;0, 0, 0.00035*(10*P17/((1/COS(M$1))-0.8))^(3/(1+1/(DATOS!E$6))))</f>
        <v>0</v>
      </c>
      <c r="R17" s="116">
        <f t="shared" si="31"/>
        <v>204226.13265355831</v>
      </c>
      <c r="S17" s="116">
        <f t="shared" si="32"/>
        <v>1605966.0228357587</v>
      </c>
      <c r="T17" s="116">
        <f t="shared" si="7"/>
        <v>2.1045766174006149</v>
      </c>
      <c r="U17" s="116">
        <f t="shared" si="8"/>
        <v>0.29130600404515933</v>
      </c>
      <c r="V17" s="116">
        <f t="shared" si="9"/>
        <v>233913.77237229099</v>
      </c>
      <c r="W17" s="116">
        <f>EDisponible!D30</f>
        <v>0.21228352259983738</v>
      </c>
      <c r="X17" s="116">
        <f t="shared" si="33"/>
        <v>-0.58771647740016264</v>
      </c>
      <c r="Y17" s="116">
        <f>IF(X17&lt;0, 0, 0.00035*(10*X17/((1/COS(M$1))-0.8))^(3/(1+1/(DATOS!E$6))))</f>
        <v>0</v>
      </c>
      <c r="Z17" s="116">
        <f t="shared" si="34"/>
        <v>233913.77237229099</v>
      </c>
      <c r="AA17" s="116">
        <f t="shared" si="35"/>
        <v>1372422.3204980986</v>
      </c>
      <c r="AB17" s="116">
        <f t="shared" si="10"/>
        <v>2.4627102674731547</v>
      </c>
      <c r="AC17" s="116">
        <f t="shared" si="11"/>
        <v>0.39403675803904714</v>
      </c>
      <c r="AD17" s="116">
        <f t="shared" si="36"/>
        <v>270392.42091474845</v>
      </c>
      <c r="AE17" s="116">
        <f>EDisponible!E30</f>
        <v>0.21624380914065555</v>
      </c>
      <c r="AF17" s="116">
        <f t="shared" si="37"/>
        <v>-0.58375619085934449</v>
      </c>
      <c r="AG17" s="116">
        <f>IF(AF17&lt;0, 0, 0.00035*(10*AF17/((1/COS(M$1))-0.8))^(3/(1+1/(DATOS!E$6))))</f>
        <v>0</v>
      </c>
      <c r="AH17" s="116">
        <f t="shared" si="38"/>
        <v>270392.42091474845</v>
      </c>
      <c r="AI17" s="116">
        <f t="shared" si="39"/>
        <v>1165795.1699603479</v>
      </c>
      <c r="AJ17" s="116">
        <f t="shared" si="12"/>
        <v>2.8992044461077664</v>
      </c>
      <c r="AK17" s="116">
        <f t="shared" si="13"/>
        <v>0.54102933804703268</v>
      </c>
      <c r="AL17" s="116">
        <f t="shared" si="14"/>
        <v>315364.69455103751</v>
      </c>
      <c r="AM17" s="116">
        <f>EDisponible!F30</f>
        <v>0.22043434559934333</v>
      </c>
      <c r="AN17" s="116">
        <f t="shared" si="40"/>
        <v>-0.57956565440065666</v>
      </c>
      <c r="AO17" s="116">
        <f>IF(AN17&lt;0, 0, 0.00035*(10*AN17/((1/COS(M$1))-0.8))^(3/(1+1/(DATOS!E$6))))</f>
        <v>0</v>
      </c>
      <c r="AP17" s="116">
        <f t="shared" si="41"/>
        <v>315364.69455103751</v>
      </c>
      <c r="AQ17" s="116">
        <f t="shared" si="42"/>
        <v>983854.94042391435</v>
      </c>
      <c r="AR17" s="116">
        <f t="shared" si="15"/>
        <v>3.435342346854211</v>
      </c>
      <c r="AS17" s="116">
        <f t="shared" si="16"/>
        <v>0.75432848222773141</v>
      </c>
      <c r="AT17" s="116">
        <f t="shared" si="17"/>
        <v>371074.90197111323</v>
      </c>
      <c r="AU17" s="116">
        <f>EDisponible!G30</f>
        <v>0.22487834429773074</v>
      </c>
      <c r="AV17" s="116">
        <f t="shared" si="43"/>
        <v>-0.57512165570226936</v>
      </c>
      <c r="AW17" s="116">
        <f>IF(AV17&lt;0, 0, 0.00035*(10*AV17/((1/COS(M$1))-0.8))^(3/(1+1/(DATOS!E$6))))</f>
        <v>0</v>
      </c>
      <c r="AX17" s="116">
        <f t="shared" si="18"/>
        <v>371074.90197111323</v>
      </c>
      <c r="AY17" s="116">
        <f t="shared" si="44"/>
        <v>824478.81308050279</v>
      </c>
      <c r="AZ17" s="116">
        <f t="shared" si="19"/>
        <v>4.0994122424707911</v>
      </c>
      <c r="BA17" s="116">
        <f t="shared" si="20"/>
        <v>1.0685818634900555</v>
      </c>
      <c r="BB17" s="116">
        <f t="shared" si="21"/>
        <v>440511.55324481637</v>
      </c>
      <c r="BC17" s="116">
        <f>EDisponible!H30</f>
        <v>0.22960243163721111</v>
      </c>
      <c r="BD17" s="116">
        <f t="shared" si="45"/>
        <v>-0.57039756836278888</v>
      </c>
      <c r="BE17" s="116">
        <f>IF(BD17&lt;0, 0, 0.00035*(10*BD17/((1/COS(M$1))-0.8))^(3/(1+1/(DATOS!E$6))))</f>
        <v>0</v>
      </c>
      <c r="BF17" s="116">
        <f t="shared" si="22"/>
        <v>440511.55324481637</v>
      </c>
      <c r="BG17" s="116">
        <f t="shared" si="46"/>
        <v>685649.69607216236</v>
      </c>
      <c r="BH17" s="116">
        <f t="shared" si="23"/>
        <v>4.9294538586717014</v>
      </c>
      <c r="BI17" s="116">
        <f t="shared" si="24"/>
        <v>1.5392666211245196</v>
      </c>
      <c r="BJ17" s="116">
        <f t="shared" si="25"/>
        <v>527698.84547402558</v>
      </c>
      <c r="BK17" s="116">
        <f>EDisponible!I30</f>
        <v>0.23463732208775176</v>
      </c>
      <c r="BL17" s="116">
        <f t="shared" si="47"/>
        <v>-0.56536267791224826</v>
      </c>
      <c r="BM17" s="116">
        <f>IF(BL17&lt;0, 0, 0.00035*(10*BL17/((1/COS(M$1))-0.8))^(3/(1+1/(DATOS!E$6))))</f>
        <v>0</v>
      </c>
      <c r="BN17" s="116">
        <f t="shared" si="26"/>
        <v>527698.84547402558</v>
      </c>
    </row>
    <row r="18" spans="1:66">
      <c r="A18" s="41">
        <f>EDisponible!A31</f>
        <v>75</v>
      </c>
      <c r="B18" s="44"/>
      <c r="C18" s="116">
        <f t="shared" si="0"/>
        <v>2483336.4340956169</v>
      </c>
      <c r="D18" s="116">
        <f t="shared" si="1"/>
        <v>1.3610232160230382</v>
      </c>
      <c r="E18" s="116">
        <f t="shared" si="2"/>
        <v>0.12946534677972016</v>
      </c>
      <c r="F18" s="116">
        <f t="shared" si="3"/>
        <v>160753.00630545136</v>
      </c>
      <c r="G18" s="116">
        <f>EDisponible!B31</f>
        <v>0.21961581911314182</v>
      </c>
      <c r="H18" s="116">
        <f t="shared" si="27"/>
        <v>-0.58038418088685817</v>
      </c>
      <c r="I18" s="116">
        <f>IF(H18&lt;0, 0, 0.00035*(10*H18/((1/COS(M$1))-0.8))^(3/(1+1/(DATOS!E$6))))</f>
        <v>0</v>
      </c>
      <c r="J18" s="116">
        <f t="shared" si="28"/>
        <v>160753.00630545136</v>
      </c>
      <c r="K18" s="116">
        <f t="shared" si="29"/>
        <v>2145264.5360972937</v>
      </c>
      <c r="L18" s="11">
        <f t="shared" si="4"/>
        <v>1.5755066487738336</v>
      </c>
      <c r="M18" s="116">
        <f t="shared" si="5"/>
        <v>0.16902251813633892</v>
      </c>
      <c r="N18" s="116">
        <f t="shared" si="6"/>
        <v>181299.00697987477</v>
      </c>
      <c r="O18" s="116">
        <f>EDisponible!C31</f>
        <v>0.2234283693903632</v>
      </c>
      <c r="P18" s="116">
        <f t="shared" si="30"/>
        <v>-0.5765716306096369</v>
      </c>
      <c r="Q18" s="116">
        <f>IF(P18&lt;0, 0, 0.00035*(10*P18/((1/COS(M$1))-0.8))^(3/(1+1/(DATOS!E$6))))</f>
        <v>0</v>
      </c>
      <c r="R18" s="116">
        <f t="shared" si="31"/>
        <v>181299.00697987477</v>
      </c>
      <c r="S18" s="116">
        <f t="shared" si="32"/>
        <v>1843583.4445818658</v>
      </c>
      <c r="T18" s="116">
        <f t="shared" si="7"/>
        <v>1.8333200756023136</v>
      </c>
      <c r="U18" s="116">
        <f t="shared" si="8"/>
        <v>0.22421850622829179</v>
      </c>
      <c r="V18" s="116">
        <f t="shared" si="9"/>
        <v>206682.76302567736</v>
      </c>
      <c r="W18" s="116">
        <f>EDisponible!D31</f>
        <v>0.22744663135696863</v>
      </c>
      <c r="X18" s="116">
        <f t="shared" si="33"/>
        <v>-0.57255336864303141</v>
      </c>
      <c r="Y18" s="116">
        <f>IF(X18&lt;0, 0, 0.00035*(10*X18/((1/COS(M$1))-0.8))^(3/(1+1/(DATOS!E$6))))</f>
        <v>0</v>
      </c>
      <c r="Z18" s="116">
        <f t="shared" si="34"/>
        <v>206682.76302567736</v>
      </c>
      <c r="AA18" s="116">
        <f t="shared" si="35"/>
        <v>1575484.8066942457</v>
      </c>
      <c r="AB18" s="116">
        <f t="shared" si="10"/>
        <v>2.1452942774432815</v>
      </c>
      <c r="AC18" s="116">
        <f t="shared" si="11"/>
        <v>0.30217415354541166</v>
      </c>
      <c r="AD18" s="116">
        <f t="shared" si="36"/>
        <v>238035.39394324509</v>
      </c>
      <c r="AE18" s="116">
        <f>EDisponible!E31</f>
        <v>0.23168979550784524</v>
      </c>
      <c r="AF18" s="116">
        <f t="shared" si="37"/>
        <v>-0.56831020449215486</v>
      </c>
      <c r="AG18" s="116">
        <f>IF(AF18&lt;0, 0, 0.00035*(10*AF18/((1/COS(M$1))-0.8))^(3/(1+1/(DATOS!E$6))))</f>
        <v>0</v>
      </c>
      <c r="AH18" s="116">
        <f t="shared" si="38"/>
        <v>238035.39394324509</v>
      </c>
      <c r="AI18" s="116">
        <f t="shared" si="39"/>
        <v>1338285.2716381545</v>
      </c>
      <c r="AJ18" s="116">
        <f t="shared" si="12"/>
        <v>2.5255292063872101</v>
      </c>
      <c r="AK18" s="116">
        <f t="shared" si="13"/>
        <v>0.41371720448045907</v>
      </c>
      <c r="AL18" s="116">
        <f t="shared" si="14"/>
        <v>276835.82068975456</v>
      </c>
      <c r="AM18" s="116">
        <f>EDisponible!F31</f>
        <v>0.23617965599929644</v>
      </c>
      <c r="AN18" s="116">
        <f t="shared" si="40"/>
        <v>-0.56382034400070358</v>
      </c>
      <c r="AO18" s="116">
        <f>IF(AN18&lt;0, 0, 0.00035*(10*AN18/((1/COS(M$1))-0.8))^(3/(1+1/(DATOS!E$6))))</f>
        <v>0</v>
      </c>
      <c r="AP18" s="116">
        <f t="shared" si="41"/>
        <v>276835.82068975456</v>
      </c>
      <c r="AQ18" s="116">
        <f t="shared" si="42"/>
        <v>1129425.3142621468</v>
      </c>
      <c r="AR18" s="116">
        <f t="shared" si="15"/>
        <v>2.9925648888152234</v>
      </c>
      <c r="AS18" s="116">
        <f t="shared" si="16"/>
        <v>0.57557596838852243</v>
      </c>
      <c r="AT18" s="116">
        <f t="shared" si="17"/>
        <v>325035.03448947321</v>
      </c>
      <c r="AU18" s="116">
        <f>EDisponible!G31</f>
        <v>0.24094108317614008</v>
      </c>
      <c r="AV18" s="116">
        <f t="shared" si="43"/>
        <v>-0.55905891682386</v>
      </c>
      <c r="AW18" s="116">
        <f>IF(AV18&lt;0, 0, 0.00035*(10*AV18/((1/COS(M$1))-0.8))^(3/(1+1/(DATOS!E$6))))</f>
        <v>0</v>
      </c>
      <c r="AX18" s="116">
        <f t="shared" si="18"/>
        <v>325035.03448947321</v>
      </c>
      <c r="AY18" s="116">
        <f t="shared" si="44"/>
        <v>946468.02521996503</v>
      </c>
      <c r="AZ18" s="116">
        <f t="shared" si="19"/>
        <v>3.5710435534412222</v>
      </c>
      <c r="BA18" s="116">
        <f t="shared" si="20"/>
        <v>0.81404229717022003</v>
      </c>
      <c r="BB18" s="116">
        <f t="shared" si="21"/>
        <v>385232.50272411102</v>
      </c>
      <c r="BC18" s="116">
        <f>EDisponible!H31</f>
        <v>0.24600260532558332</v>
      </c>
      <c r="BD18" s="116">
        <f t="shared" si="45"/>
        <v>-0.55399739467441678</v>
      </c>
      <c r="BE18" s="116">
        <f>IF(BD18&lt;0, 0, 0.00035*(10*BD18/((1/COS(M$1))-0.8))^(3/(1+1/(DATOS!E$6))))</f>
        <v>0</v>
      </c>
      <c r="BF18" s="116">
        <f t="shared" si="22"/>
        <v>385232.50272411102</v>
      </c>
      <c r="BG18" s="116">
        <f t="shared" si="46"/>
        <v>787097.86538896186</v>
      </c>
      <c r="BH18" s="116">
        <f t="shared" si="23"/>
        <v>4.2941020279984601</v>
      </c>
      <c r="BI18" s="116">
        <f t="shared" si="24"/>
        <v>1.1712141618474663</v>
      </c>
      <c r="BJ18" s="116">
        <f t="shared" si="25"/>
        <v>460930.08335173142</v>
      </c>
      <c r="BK18" s="116">
        <f>EDisponible!I31</f>
        <v>0.25139713080830545</v>
      </c>
      <c r="BL18" s="116">
        <f t="shared" si="47"/>
        <v>-0.54860286919169465</v>
      </c>
      <c r="BM18" s="116">
        <f>IF(BL18&lt;0, 0, 0.00035*(10*BL18/((1/COS(M$1))-0.8))^(3/(1+1/(DATOS!E$6))))</f>
        <v>0</v>
      </c>
      <c r="BN18" s="116">
        <f t="shared" si="26"/>
        <v>460930.08335173142</v>
      </c>
    </row>
    <row r="19" spans="1:66">
      <c r="A19" s="41">
        <f>EDisponible!A32</f>
        <v>80</v>
      </c>
      <c r="B19" s="44"/>
      <c r="C19" s="116">
        <f t="shared" si="0"/>
        <v>2825485.0094599021</v>
      </c>
      <c r="D19" s="116">
        <f t="shared" si="1"/>
        <v>1.1962118109577482</v>
      </c>
      <c r="E19" s="116">
        <f t="shared" si="2"/>
        <v>0.1029952846225301</v>
      </c>
      <c r="F19" s="116">
        <f t="shared" si="3"/>
        <v>145505.8163730074</v>
      </c>
      <c r="G19" s="116">
        <f>EDisponible!B32</f>
        <v>0.23425687372068463</v>
      </c>
      <c r="H19" s="116">
        <f t="shared" si="27"/>
        <v>-0.56574312627931544</v>
      </c>
      <c r="I19" s="116">
        <f>IF(H19&lt;0, 0, 0.00035*(10*H19/((1/COS(M$1))-0.8))^(3/(1+1/(DATOS!E$6))))</f>
        <v>0</v>
      </c>
      <c r="J19" s="116">
        <f t="shared" si="28"/>
        <v>145505.8163730074</v>
      </c>
      <c r="K19" s="116">
        <f t="shared" si="29"/>
        <v>2440834.3166262545</v>
      </c>
      <c r="L19" s="11">
        <f t="shared" si="4"/>
        <v>1.3847226405238771</v>
      </c>
      <c r="M19" s="116">
        <f t="shared" si="5"/>
        <v>0.13355225788804564</v>
      </c>
      <c r="N19" s="116">
        <f t="shared" si="6"/>
        <v>162989.4670580306</v>
      </c>
      <c r="O19" s="116">
        <f>EDisponible!C32</f>
        <v>0.23832359401638742</v>
      </c>
      <c r="P19" s="116">
        <f t="shared" si="30"/>
        <v>-0.56167640598361257</v>
      </c>
      <c r="Q19" s="116">
        <f>IF(P19&lt;0, 0, 0.00035*(10*P19/((1/COS(M$1))-0.8))^(3/(1+1/(DATOS!E$6))))</f>
        <v>0</v>
      </c>
      <c r="R19" s="116">
        <f t="shared" si="31"/>
        <v>162989.4670580306</v>
      </c>
      <c r="S19" s="116">
        <f t="shared" si="32"/>
        <v>2097588.2747242562</v>
      </c>
      <c r="T19" s="116">
        <f t="shared" si="7"/>
        <v>1.6113164726973459</v>
      </c>
      <c r="U19" s="116">
        <f t="shared" si="8"/>
        <v>0.17618984481973379</v>
      </c>
      <c r="V19" s="116">
        <f t="shared" si="9"/>
        <v>184786.87630967991</v>
      </c>
      <c r="W19" s="116">
        <f>EDisponible!D32</f>
        <v>0.24260974011409986</v>
      </c>
      <c r="X19" s="116">
        <f t="shared" si="33"/>
        <v>-0.55739025988590019</v>
      </c>
      <c r="Y19" s="116">
        <f>IF(X19&lt;0, 0, 0.00035*(10*X19/((1/COS(M$1))-0.8))^(3/(1+1/(DATOS!E$6))))</f>
        <v>0</v>
      </c>
      <c r="Z19" s="116">
        <f t="shared" si="34"/>
        <v>184786.87630967991</v>
      </c>
      <c r="AA19" s="116">
        <f t="shared" si="35"/>
        <v>1792551.6022832307</v>
      </c>
      <c r="AB19" s="116">
        <f t="shared" si="10"/>
        <v>1.8855125485341342</v>
      </c>
      <c r="AC19" s="116">
        <f t="shared" si="11"/>
        <v>0.23640872673851421</v>
      </c>
      <c r="AD19" s="116">
        <f t="shared" si="36"/>
        <v>211887.42095443106</v>
      </c>
      <c r="AE19" s="116">
        <f>EDisponible!E32</f>
        <v>0.24713578187503493</v>
      </c>
      <c r="AF19" s="116">
        <f t="shared" si="37"/>
        <v>-0.55286421812496511</v>
      </c>
      <c r="AG19" s="116">
        <f>IF(AF19&lt;0, 0, 0.00035*(10*AF19/((1/COS(M$1))-0.8))^(3/(1+1/(DATOS!E$6))))</f>
        <v>0</v>
      </c>
      <c r="AH19" s="116">
        <f t="shared" si="38"/>
        <v>211887.42095443106</v>
      </c>
      <c r="AI19" s="116">
        <f t="shared" si="39"/>
        <v>1522671.2423971891</v>
      </c>
      <c r="AJ19" s="116">
        <f t="shared" si="12"/>
        <v>2.2197034040512587</v>
      </c>
      <c r="AK19" s="116">
        <f t="shared" si="13"/>
        <v>0.32257307844729671</v>
      </c>
      <c r="AL19" s="116">
        <f t="shared" si="14"/>
        <v>245586.37506161563</v>
      </c>
      <c r="AM19" s="116">
        <f>EDisponible!F32</f>
        <v>0.25192496639924949</v>
      </c>
      <c r="AN19" s="116">
        <f t="shared" si="40"/>
        <v>-0.54807503360075049</v>
      </c>
      <c r="AO19" s="116">
        <f>IF(AN19&lt;0, 0, 0.00035*(10*AN19/((1/COS(M$1))-0.8))^(3/(1+1/(DATOS!E$6))))</f>
        <v>0</v>
      </c>
      <c r="AP19" s="116">
        <f t="shared" si="41"/>
        <v>245586.37506161563</v>
      </c>
      <c r="AQ19" s="116">
        <f t="shared" si="42"/>
        <v>1285035.0242271535</v>
      </c>
      <c r="AR19" s="116">
        <f t="shared" si="15"/>
        <v>2.6301839843102552</v>
      </c>
      <c r="AS19" s="116">
        <f t="shared" si="16"/>
        <v>0.44760512072704711</v>
      </c>
      <c r="AT19" s="116">
        <f t="shared" si="17"/>
        <v>287594.12857883947</v>
      </c>
      <c r="AU19" s="116">
        <f>EDisponible!G32</f>
        <v>0.25700382205454941</v>
      </c>
      <c r="AV19" s="116">
        <f t="shared" si="43"/>
        <v>-0.54299617794545063</v>
      </c>
      <c r="AW19" s="116">
        <f>IF(AV19&lt;0, 0, 0.00035*(10*AV19/((1/COS(M$1))-0.8))^(3/(1+1/(DATOS!E$6))))</f>
        <v>0</v>
      </c>
      <c r="AX19" s="116">
        <f t="shared" si="18"/>
        <v>287594.12857883947</v>
      </c>
      <c r="AY19" s="116">
        <f t="shared" si="44"/>
        <v>1076870.2864724935</v>
      </c>
      <c r="AZ19" s="116">
        <f t="shared" si="19"/>
        <v>3.1386124981416992</v>
      </c>
      <c r="BA19" s="116">
        <f t="shared" si="20"/>
        <v>0.6318146833273498</v>
      </c>
      <c r="BB19" s="116">
        <f t="shared" si="21"/>
        <v>340191.22951612546</v>
      </c>
      <c r="BC19" s="116">
        <f>EDisponible!H32</f>
        <v>0.26240277901395553</v>
      </c>
      <c r="BD19" s="116">
        <f t="shared" si="45"/>
        <v>-0.53759722098604446</v>
      </c>
      <c r="BE19" s="116">
        <f>IF(BD19&lt;0, 0, 0.00035*(10*BD19/((1/COS(M$1))-0.8))^(3/(1+1/(DATOS!E$6))))</f>
        <v>0</v>
      </c>
      <c r="BF19" s="116">
        <f t="shared" si="22"/>
        <v>340191.22951612546</v>
      </c>
      <c r="BG19" s="116">
        <f t="shared" si="46"/>
        <v>895542.46017588547</v>
      </c>
      <c r="BH19" s="116">
        <f t="shared" si="23"/>
        <v>3.7741131105455215</v>
      </c>
      <c r="BI19" s="116">
        <f t="shared" si="24"/>
        <v>0.90772144677470068</v>
      </c>
      <c r="BJ19" s="116">
        <f t="shared" si="25"/>
        <v>406451.54879951477</v>
      </c>
      <c r="BK19" s="116">
        <f>EDisponible!I32</f>
        <v>0.26815693952885916</v>
      </c>
      <c r="BL19" s="116">
        <f t="shared" si="47"/>
        <v>-0.53184306047114083</v>
      </c>
      <c r="BM19" s="116">
        <f>IF(BL19&lt;0, 0, 0.00035*(10*BL19/((1/COS(M$1))-0.8))^(3/(1+1/(DATOS!E$6))))</f>
        <v>0</v>
      </c>
      <c r="BN19" s="116">
        <f t="shared" si="26"/>
        <v>406451.54879951477</v>
      </c>
    </row>
    <row r="20" spans="1:66">
      <c r="A20" s="41">
        <f>EDisponible!A33</f>
        <v>85</v>
      </c>
      <c r="B20" s="44"/>
      <c r="C20" s="116">
        <f t="shared" si="0"/>
        <v>3189707.6864605928</v>
      </c>
      <c r="D20" s="116">
        <f t="shared" si="1"/>
        <v>1.0596201508829881</v>
      </c>
      <c r="E20" s="116">
        <f t="shared" si="2"/>
        <v>8.3643189780777324E-2</v>
      </c>
      <c r="F20" s="116">
        <f t="shared" si="3"/>
        <v>133398.66268191376</v>
      </c>
      <c r="G20" s="116">
        <f>EDisponible!B33</f>
        <v>0.24889792832822741</v>
      </c>
      <c r="H20" s="116">
        <f t="shared" si="27"/>
        <v>-0.55110207167177261</v>
      </c>
      <c r="I20" s="116">
        <f>IF(H20&lt;0, 0, 0.00035*(10*H20/((1/COS(M$1))-0.8))^(3/(1+1/(DATOS!E$6))))</f>
        <v>0</v>
      </c>
      <c r="J20" s="116">
        <f t="shared" si="28"/>
        <v>133398.66268191376</v>
      </c>
      <c r="K20" s="116">
        <f t="shared" si="29"/>
        <v>2755473.1152538573</v>
      </c>
      <c r="L20" s="11">
        <f t="shared" si="4"/>
        <v>1.2266055224017736</v>
      </c>
      <c r="M20" s="116">
        <f t="shared" si="5"/>
        <v>0.10762017520873948</v>
      </c>
      <c r="N20" s="116">
        <f t="shared" si="6"/>
        <v>148272.24972329565</v>
      </c>
      <c r="O20" s="116">
        <f>EDisponible!C33</f>
        <v>0.25321881864241164</v>
      </c>
      <c r="P20" s="116">
        <f t="shared" si="30"/>
        <v>-0.54678118135758846</v>
      </c>
      <c r="Q20" s="116">
        <f>IF(P20&lt;0, 0, 0.00035*(10*P20/((1/COS(M$1))-0.8))^(3/(1+1/(DATOS!E$6))))</f>
        <v>0</v>
      </c>
      <c r="R20" s="116">
        <f t="shared" si="31"/>
        <v>148272.24972329565</v>
      </c>
      <c r="S20" s="116">
        <f t="shared" si="32"/>
        <v>2367980.5132629299</v>
      </c>
      <c r="T20" s="116">
        <f t="shared" si="7"/>
        <v>1.4273253183755037</v>
      </c>
      <c r="U20" s="116">
        <f t="shared" si="8"/>
        <v>0.14107639456860246</v>
      </c>
      <c r="V20" s="116">
        <f t="shared" si="9"/>
        <v>167033.07660992144</v>
      </c>
      <c r="W20" s="116">
        <f>EDisponible!D33</f>
        <v>0.25777284887123109</v>
      </c>
      <c r="X20" s="116">
        <f t="shared" si="33"/>
        <v>-0.54222715112876896</v>
      </c>
      <c r="Y20" s="116">
        <f>IF(X20&lt;0, 0, 0.00035*(10*X20/((1/COS(M$1))-0.8))^(3/(1+1/(DATOS!E$6))))</f>
        <v>0</v>
      </c>
      <c r="Z20" s="116">
        <f t="shared" si="34"/>
        <v>167033.07660992144</v>
      </c>
      <c r="AA20" s="116">
        <f t="shared" si="35"/>
        <v>2023622.7072650536</v>
      </c>
      <c r="AB20" s="116">
        <f t="shared" si="10"/>
        <v>1.6702118076980563</v>
      </c>
      <c r="AC20" s="116">
        <f t="shared" si="11"/>
        <v>0.18832803960912145</v>
      </c>
      <c r="AD20" s="116">
        <f t="shared" si="36"/>
        <v>190552.44868386531</v>
      </c>
      <c r="AE20" s="116">
        <f>EDisponible!E33</f>
        <v>0.26258176824222462</v>
      </c>
      <c r="AF20" s="116">
        <f t="shared" si="37"/>
        <v>-0.53741823175777537</v>
      </c>
      <c r="AG20" s="116">
        <f>IF(AF20&lt;0, 0, 0.00035*(10*AF20/((1/COS(M$1))-0.8))^(3/(1+1/(DATOS!E$6))))</f>
        <v>0</v>
      </c>
      <c r="AH20" s="116">
        <f t="shared" si="38"/>
        <v>190552.44868386531</v>
      </c>
      <c r="AI20" s="116">
        <f t="shared" si="39"/>
        <v>1718953.0822374518</v>
      </c>
      <c r="AJ20" s="116">
        <f t="shared" si="12"/>
        <v>1.9662424617201462</v>
      </c>
      <c r="AK20" s="116">
        <f t="shared" si="13"/>
        <v>0.25593818500473187</v>
      </c>
      <c r="AL20" s="116">
        <f t="shared" si="14"/>
        <v>219972.86598807151</v>
      </c>
      <c r="AM20" s="116">
        <f>EDisponible!F33</f>
        <v>0.26767027679920263</v>
      </c>
      <c r="AN20" s="116">
        <f t="shared" si="40"/>
        <v>-0.53232972320079741</v>
      </c>
      <c r="AO20" s="116">
        <f>IF(AN20&lt;0, 0, 0.00035*(10*AN20/((1/COS(M$1))-0.8))^(3/(1+1/(DATOS!E$6))))</f>
        <v>0</v>
      </c>
      <c r="AP20" s="116">
        <f t="shared" si="41"/>
        <v>219972.86598807151</v>
      </c>
      <c r="AQ20" s="116">
        <f t="shared" si="42"/>
        <v>1450684.070318935</v>
      </c>
      <c r="AR20" s="116">
        <f t="shared" si="15"/>
        <v>2.3298515570360738</v>
      </c>
      <c r="AS20" s="116">
        <f t="shared" si="16"/>
        <v>0.35404644427899484</v>
      </c>
      <c r="AT20" s="116">
        <f t="shared" si="17"/>
        <v>256804.76843429913</v>
      </c>
      <c r="AU20" s="116">
        <f>EDisponible!G33</f>
        <v>0.27306656093295878</v>
      </c>
      <c r="AV20" s="116">
        <f t="shared" si="43"/>
        <v>-0.52693343906704126</v>
      </c>
      <c r="AW20" s="116">
        <f>IF(AV20&lt;0, 0, 0.00035*(10*AV20/((1/COS(M$1))-0.8))^(3/(1+1/(DATOS!E$6))))</f>
        <v>0</v>
      </c>
      <c r="AX20" s="116">
        <f t="shared" si="18"/>
        <v>256804.76843429913</v>
      </c>
      <c r="AY20" s="116">
        <f t="shared" si="44"/>
        <v>1215685.5968380882</v>
      </c>
      <c r="AZ20" s="116">
        <f t="shared" si="19"/>
        <v>2.78022421980718</v>
      </c>
      <c r="BA20" s="116">
        <f t="shared" si="20"/>
        <v>0.4985892286634423</v>
      </c>
      <c r="BB20" s="116">
        <f t="shared" si="21"/>
        <v>303063.87201237946</v>
      </c>
      <c r="BC20" s="116">
        <f>EDisponible!H33</f>
        <v>0.27880295270232774</v>
      </c>
      <c r="BD20" s="116">
        <f t="shared" si="45"/>
        <v>-0.52119704729767236</v>
      </c>
      <c r="BE20" s="116">
        <f>IF(BD20&lt;0, 0, 0.00035*(10*BD20/((1/COS(M$1))-0.8))^(3/(1+1/(DATOS!E$6))))</f>
        <v>0</v>
      </c>
      <c r="BF20" s="116">
        <f t="shared" si="22"/>
        <v>303063.87201237946</v>
      </c>
      <c r="BG20" s="116">
        <f t="shared" si="46"/>
        <v>1010983.4804329333</v>
      </c>
      <c r="BH20" s="116">
        <f t="shared" si="23"/>
        <v>3.343159018337901</v>
      </c>
      <c r="BI20" s="116">
        <f t="shared" si="24"/>
        <v>0.7150835911505482</v>
      </c>
      <c r="BJ20" s="116">
        <f t="shared" si="25"/>
        <v>361468.848890931</v>
      </c>
      <c r="BK20" s="116">
        <f>EDisponible!I33</f>
        <v>0.28491674824941282</v>
      </c>
      <c r="BL20" s="116">
        <f t="shared" si="47"/>
        <v>-0.51508325175058722</v>
      </c>
      <c r="BM20" s="116">
        <f>IF(BL20&lt;0, 0, 0.00035*(10*BL20/((1/COS(M$1))-0.8))^(3/(1+1/(DATOS!E$6))))</f>
        <v>0</v>
      </c>
      <c r="BN20" s="116">
        <f t="shared" si="26"/>
        <v>361468.848890931</v>
      </c>
    </row>
    <row r="21" spans="1:66">
      <c r="A21" s="41">
        <f>EDisponible!A34</f>
        <v>90</v>
      </c>
      <c r="B21" s="44"/>
      <c r="C21" s="116">
        <f t="shared" si="0"/>
        <v>3576004.4650976886</v>
      </c>
      <c r="D21" s="116">
        <f t="shared" si="1"/>
        <v>0.94515501112710976</v>
      </c>
      <c r="E21" s="116">
        <f t="shared" si="2"/>
        <v>6.9230800940402293E-2</v>
      </c>
      <c r="F21" s="116">
        <f t="shared" si="3"/>
        <v>123784.82664258392</v>
      </c>
      <c r="G21" s="116">
        <f>EDisponible!B34</f>
        <v>0.26353898293577022</v>
      </c>
      <c r="H21" s="116">
        <f t="shared" si="27"/>
        <v>-0.53646101706422988</v>
      </c>
      <c r="I21" s="116">
        <f>IF(H21&lt;0, 0, 0.00035*(10*H21/((1/COS(M$1))-0.8))^(3/(1+1/(DATOS!E$6))))</f>
        <v>0</v>
      </c>
      <c r="J21" s="116">
        <f t="shared" si="28"/>
        <v>123784.82664258392</v>
      </c>
      <c r="K21" s="116">
        <f t="shared" si="29"/>
        <v>3089180.9319801028</v>
      </c>
      <c r="L21" s="11">
        <f t="shared" si="4"/>
        <v>1.0941018394262734</v>
      </c>
      <c r="M21" s="116">
        <f t="shared" si="5"/>
        <v>8.8307368917166756E-2</v>
      </c>
      <c r="N21" s="116">
        <f t="shared" si="6"/>
        <v>136398.72010612197</v>
      </c>
      <c r="O21" s="116">
        <f>EDisponible!C34</f>
        <v>0.26811404326843585</v>
      </c>
      <c r="P21" s="116">
        <f t="shared" si="30"/>
        <v>-0.53188595673156414</v>
      </c>
      <c r="Q21" s="116">
        <f>IF(P21&lt;0, 0, 0.00035*(10*P21/((1/COS(M$1))-0.8))^(3/(1+1/(DATOS!E$6))))</f>
        <v>0</v>
      </c>
      <c r="R21" s="116">
        <f t="shared" si="31"/>
        <v>136398.72010612197</v>
      </c>
      <c r="S21" s="116">
        <f t="shared" si="32"/>
        <v>2654760.1601978866</v>
      </c>
      <c r="T21" s="116">
        <f t="shared" si="7"/>
        <v>1.2731389413904957</v>
      </c>
      <c r="U21" s="116">
        <f t="shared" si="8"/>
        <v>0.11492580453249898</v>
      </c>
      <c r="V21" s="116">
        <f t="shared" si="9"/>
        <v>152550.22362578401</v>
      </c>
      <c r="W21" s="116">
        <f>EDisponible!D34</f>
        <v>0.27293595762836237</v>
      </c>
      <c r="X21" s="116">
        <f t="shared" si="33"/>
        <v>-0.52706404237163773</v>
      </c>
      <c r="Y21" s="116">
        <f>IF(X21&lt;0, 0, 0.00035*(10*X21/((1/COS(M$1))-0.8))^(3/(1+1/(DATOS!E$6))))</f>
        <v>0</v>
      </c>
      <c r="Z21" s="116">
        <f t="shared" si="34"/>
        <v>152550.22362578401</v>
      </c>
      <c r="AA21" s="116">
        <f t="shared" si="35"/>
        <v>2268698.1216397141</v>
      </c>
      <c r="AB21" s="116">
        <f t="shared" si="10"/>
        <v>1.4897876926689453</v>
      </c>
      <c r="AC21" s="116">
        <f t="shared" si="11"/>
        <v>0.15252015605502972</v>
      </c>
      <c r="AD21" s="116">
        <f t="shared" si="36"/>
        <v>173011.09577712099</v>
      </c>
      <c r="AE21" s="116">
        <f>EDisponible!E34</f>
        <v>0.27802775460941431</v>
      </c>
      <c r="AF21" s="116">
        <f t="shared" si="37"/>
        <v>-0.52197224539058573</v>
      </c>
      <c r="AG21" s="116">
        <f>IF(AF21&lt;0, 0, 0.00035*(10*AF21/((1/COS(M$1))-0.8))^(3/(1+1/(DATOS!E$6))))</f>
        <v>0</v>
      </c>
      <c r="AH21" s="116">
        <f t="shared" si="38"/>
        <v>173011.09577712099</v>
      </c>
      <c r="AI21" s="116">
        <f t="shared" si="39"/>
        <v>1927130.7911589425</v>
      </c>
      <c r="AJ21" s="116">
        <f t="shared" si="12"/>
        <v>1.7538397266577848</v>
      </c>
      <c r="AK21" s="116">
        <f t="shared" si="13"/>
        <v>0.2063121366371321</v>
      </c>
      <c r="AL21" s="116">
        <f t="shared" si="14"/>
        <v>198795.23555160413</v>
      </c>
      <c r="AM21" s="116">
        <f>EDisponible!F34</f>
        <v>0.28341558719915572</v>
      </c>
      <c r="AN21" s="116">
        <f t="shared" si="40"/>
        <v>-0.51658441280084433</v>
      </c>
      <c r="AO21" s="116">
        <f>IF(AN21&lt;0, 0, 0.00035*(10*AN21/((1/COS(M$1))-0.8))^(3/(1+1/(DATOS!E$6))))</f>
        <v>0</v>
      </c>
      <c r="AP21" s="116">
        <f t="shared" si="41"/>
        <v>198795.23555160413</v>
      </c>
      <c r="AQ21" s="116">
        <f t="shared" si="42"/>
        <v>1626372.4525374912</v>
      </c>
      <c r="AR21" s="116">
        <f t="shared" si="15"/>
        <v>2.0781700616772385</v>
      </c>
      <c r="AS21" s="116">
        <f t="shared" si="16"/>
        <v>0.28436902509588186</v>
      </c>
      <c r="AT21" s="116">
        <f t="shared" si="17"/>
        <v>231244.97438544239</v>
      </c>
      <c r="AU21" s="116">
        <f>EDisponible!G34</f>
        <v>0.28912929981136809</v>
      </c>
      <c r="AV21" s="116">
        <f t="shared" si="43"/>
        <v>-0.5108707001886319</v>
      </c>
      <c r="AW21" s="116">
        <f>IF(AV21&lt;0, 0, 0.00035*(10*AV21/((1/COS(M$1))-0.8))^(3/(1+1/(DATOS!E$6))))</f>
        <v>0</v>
      </c>
      <c r="AX21" s="116">
        <f t="shared" si="18"/>
        <v>231244.97438544239</v>
      </c>
      <c r="AY21" s="116">
        <f t="shared" si="44"/>
        <v>1362913.9563167496</v>
      </c>
      <c r="AZ21" s="116">
        <f t="shared" si="19"/>
        <v>2.4798913565564042</v>
      </c>
      <c r="BA21" s="116">
        <f t="shared" si="20"/>
        <v>0.39937014815804306</v>
      </c>
      <c r="BB21" s="116">
        <f t="shared" si="21"/>
        <v>272153.57433044247</v>
      </c>
      <c r="BC21" s="116">
        <f>EDisponible!H34</f>
        <v>0.29520312639070001</v>
      </c>
      <c r="BD21" s="116">
        <f t="shared" si="45"/>
        <v>-0.50479687360930003</v>
      </c>
      <c r="BE21" s="116">
        <f>IF(BD21&lt;0, 0, 0.00035*(10*BD21/((1/COS(M$1))-0.8))^(3/(1+1/(DATOS!E$6))))</f>
        <v>0</v>
      </c>
      <c r="BF21" s="116">
        <f t="shared" si="22"/>
        <v>272153.57433044247</v>
      </c>
      <c r="BG21" s="116">
        <f t="shared" si="46"/>
        <v>1133420.926160105</v>
      </c>
      <c r="BH21" s="116">
        <f t="shared" si="23"/>
        <v>2.9820152972211531</v>
      </c>
      <c r="BI21" s="116">
        <f t="shared" si="24"/>
        <v>0.57161738228094361</v>
      </c>
      <c r="BJ21" s="116">
        <f t="shared" si="25"/>
        <v>323941.55141704099</v>
      </c>
      <c r="BK21" s="116">
        <f>EDisponible!I34</f>
        <v>0.30167655696996654</v>
      </c>
      <c r="BL21" s="116">
        <f t="shared" si="47"/>
        <v>-0.49832344303003351</v>
      </c>
      <c r="BM21" s="116">
        <f>IF(BL21&lt;0, 0, 0.00035*(10*BL21/((1/COS(M$1))-0.8))^(3/(1+1/(DATOS!E$6))))</f>
        <v>0</v>
      </c>
      <c r="BN21" s="116">
        <f t="shared" si="26"/>
        <v>323941.55141704099</v>
      </c>
    </row>
    <row r="22" spans="1:66">
      <c r="A22" s="41">
        <f>EDisponible!A35</f>
        <v>95</v>
      </c>
      <c r="B22" s="44"/>
      <c r="C22" s="116">
        <f t="shared" si="0"/>
        <v>3984375.34537119</v>
      </c>
      <c r="D22" s="116">
        <f t="shared" si="1"/>
        <v>0.84828316788139491</v>
      </c>
      <c r="E22" s="116">
        <f t="shared" si="2"/>
        <v>5.8319387065130762E-2</v>
      </c>
      <c r="F22" s="116">
        <f t="shared" si="3"/>
        <v>116183.16398973325</v>
      </c>
      <c r="G22" s="116">
        <f>EDisponible!B35</f>
        <v>0.278180037543313</v>
      </c>
      <c r="H22" s="116">
        <f t="shared" si="27"/>
        <v>-0.52181996245668705</v>
      </c>
      <c r="I22" s="116">
        <f>IF(H22&lt;0, 0, 0.00035*(10*H22/((1/COS(M$1))-0.8))^(3/(1+1/(DATOS!E$6))))</f>
        <v>0</v>
      </c>
      <c r="J22" s="116">
        <f t="shared" si="28"/>
        <v>116183.16398973325</v>
      </c>
      <c r="K22" s="116">
        <f t="shared" si="29"/>
        <v>3441957.7668049918</v>
      </c>
      <c r="L22" s="11">
        <f t="shared" si="4"/>
        <v>0.98196397776762467</v>
      </c>
      <c r="M22" s="116">
        <f t="shared" si="5"/>
        <v>7.368591893588701E-2</v>
      </c>
      <c r="N22" s="116">
        <f t="shared" si="6"/>
        <v>126811.91049276965</v>
      </c>
      <c r="O22" s="116">
        <f>EDisponible!C35</f>
        <v>0.28300926789446007</v>
      </c>
      <c r="P22" s="116">
        <f t="shared" si="30"/>
        <v>-0.51699073210554003</v>
      </c>
      <c r="Q22" s="116">
        <f>IF(P22&lt;0, 0, 0.00035*(10*P22/((1/COS(M$1))-0.8))^(3/(1+1/(DATOS!E$6))))</f>
        <v>0</v>
      </c>
      <c r="R22" s="116">
        <f t="shared" si="31"/>
        <v>126811.91049276965</v>
      </c>
      <c r="S22" s="116">
        <f t="shared" si="32"/>
        <v>2957927.2155291266</v>
      </c>
      <c r="T22" s="116">
        <f t="shared" si="7"/>
        <v>1.1426510166496415</v>
      </c>
      <c r="U22" s="116">
        <f t="shared" si="8"/>
        <v>9.5127566077599535E-2</v>
      </c>
      <c r="V22" s="116">
        <f t="shared" si="9"/>
        <v>140690.20832398848</v>
      </c>
      <c r="W22" s="116">
        <f>EDisponible!D35</f>
        <v>0.2880990663854936</v>
      </c>
      <c r="X22" s="116">
        <f t="shared" si="33"/>
        <v>-0.51190093361450639</v>
      </c>
      <c r="Y22" s="116">
        <f>IF(X22&lt;0, 0, 0.00035*(10*X22/((1/COS(M$1))-0.8))^(3/(1+1/(DATOS!E$6))))</f>
        <v>0</v>
      </c>
      <c r="Z22" s="116">
        <f t="shared" si="34"/>
        <v>140690.20832398848</v>
      </c>
      <c r="AA22" s="116">
        <f t="shared" si="35"/>
        <v>2527777.8454072122</v>
      </c>
      <c r="AB22" s="116">
        <f t="shared" si="10"/>
        <v>1.337094771259663</v>
      </c>
      <c r="AC22" s="116">
        <f t="shared" si="11"/>
        <v>0.12541051852140514</v>
      </c>
      <c r="AD22" s="116">
        <f t="shared" si="36"/>
        <v>158504.96514971938</v>
      </c>
      <c r="AE22" s="116">
        <f>EDisponible!E35</f>
        <v>0.29347374097660395</v>
      </c>
      <c r="AF22" s="116">
        <f t="shared" si="37"/>
        <v>-0.5065262590233961</v>
      </c>
      <c r="AG22" s="116">
        <f>IF(AF22&lt;0, 0, 0.00035*(10*AF22/((1/COS(M$1))-0.8))^(3/(1+1/(DATOS!E$6))))</f>
        <v>0</v>
      </c>
      <c r="AH22" s="116">
        <f t="shared" si="38"/>
        <v>158504.96514971938</v>
      </c>
      <c r="AI22" s="116">
        <f t="shared" si="39"/>
        <v>2147204.3691616612</v>
      </c>
      <c r="AJ22" s="116">
        <f t="shared" si="12"/>
        <v>1.57408330037984</v>
      </c>
      <c r="AK22" s="116">
        <f t="shared" si="13"/>
        <v>0.16874096375729786</v>
      </c>
      <c r="AL22" s="116">
        <f t="shared" si="14"/>
        <v>181160.66731810974</v>
      </c>
      <c r="AM22" s="116">
        <f>EDisponible!F35</f>
        <v>0.2991608975991088</v>
      </c>
      <c r="AN22" s="116">
        <f t="shared" si="40"/>
        <v>-0.50083910240089125</v>
      </c>
      <c r="AO22" s="116">
        <f>IF(AN22&lt;0, 0, 0.00035*(10*AN22/((1/COS(M$1))-0.8))^(3/(1+1/(DATOS!E$6))))</f>
        <v>0</v>
      </c>
      <c r="AP22" s="116">
        <f t="shared" si="41"/>
        <v>181160.66731810974</v>
      </c>
      <c r="AQ22" s="116">
        <f t="shared" si="42"/>
        <v>1812100.170882822</v>
      </c>
      <c r="AR22" s="116">
        <f t="shared" si="15"/>
        <v>1.8651720221147516</v>
      </c>
      <c r="AS22" s="116">
        <f t="shared" si="16"/>
        <v>0.23161724557562122</v>
      </c>
      <c r="AT22" s="116">
        <f t="shared" si="17"/>
        <v>209856.82514349587</v>
      </c>
      <c r="AU22" s="116">
        <f>EDisponible!G35</f>
        <v>0.30519203868977746</v>
      </c>
      <c r="AV22" s="116">
        <f t="shared" si="43"/>
        <v>-0.49480796131022259</v>
      </c>
      <c r="AW22" s="116">
        <f>IF(AV22&lt;0, 0, 0.00035*(10*AV22/((1/COS(M$1))-0.8))^(3/(1+1/(DATOS!E$6))))</f>
        <v>0</v>
      </c>
      <c r="AX22" s="116">
        <f t="shared" si="18"/>
        <v>209856.82514349587</v>
      </c>
      <c r="AY22" s="116">
        <f t="shared" si="44"/>
        <v>1518555.3649084773</v>
      </c>
      <c r="AZ22" s="116">
        <f t="shared" si="19"/>
        <v>2.2257196662722296</v>
      </c>
      <c r="BA22" s="116">
        <f t="shared" si="20"/>
        <v>0.32425279851469796</v>
      </c>
      <c r="BB22" s="116">
        <f t="shared" si="21"/>
        <v>246197.91338554106</v>
      </c>
      <c r="BC22" s="116">
        <f>EDisponible!H35</f>
        <v>0.31160330007907222</v>
      </c>
      <c r="BD22" s="116">
        <f t="shared" si="45"/>
        <v>-0.48839669992092782</v>
      </c>
      <c r="BE22" s="116">
        <f>IF(BD22&lt;0, 0, 0.00035*(10*BD22/((1/COS(M$1))-0.8))^(3/(1+1/(DATOS!E$6))))</f>
        <v>0</v>
      </c>
      <c r="BF22" s="116">
        <f t="shared" si="22"/>
        <v>246197.91338554106</v>
      </c>
      <c r="BG22" s="116">
        <f t="shared" si="46"/>
        <v>1262854.7973574011</v>
      </c>
      <c r="BH22" s="116">
        <f t="shared" si="23"/>
        <v>2.6763793803314502</v>
      </c>
      <c r="BI22" s="116">
        <f t="shared" si="24"/>
        <v>0.46300116331611602</v>
      </c>
      <c r="BJ22" s="116">
        <f t="shared" si="25"/>
        <v>292351.62013790733</v>
      </c>
      <c r="BK22" s="116">
        <f>EDisponible!I35</f>
        <v>0.31843636569052025</v>
      </c>
      <c r="BL22" s="116">
        <f t="shared" si="47"/>
        <v>-0.48156363430947979</v>
      </c>
      <c r="BM22" s="116">
        <f>IF(BL22&lt;0, 0, 0.00035*(10*BL22/((1/COS(M$1))-0.8))^(3/(1+1/(DATOS!E$6))))</f>
        <v>0</v>
      </c>
      <c r="BN22" s="116">
        <f t="shared" si="26"/>
        <v>292351.62013790733</v>
      </c>
    </row>
    <row r="23" spans="1:66">
      <c r="A23" s="41">
        <f>EDisponible!A36</f>
        <v>100</v>
      </c>
      <c r="B23" s="44"/>
      <c r="C23" s="116">
        <f t="shared" si="0"/>
        <v>4414820.327281097</v>
      </c>
      <c r="D23" s="116">
        <f t="shared" si="1"/>
        <v>0.76557555901295893</v>
      </c>
      <c r="E23" s="116">
        <f t="shared" si="2"/>
        <v>4.9936221661209479E-2</v>
      </c>
      <c r="F23" s="116">
        <f t="shared" si="3"/>
        <v>110229.72322876111</v>
      </c>
      <c r="G23" s="116">
        <f>EDisponible!B36</f>
        <v>0.29282109215085578</v>
      </c>
      <c r="H23" s="116">
        <f t="shared" si="27"/>
        <v>-0.50717890784914421</v>
      </c>
      <c r="I23" s="116">
        <f>IF(H23&lt;0, 0, 0.00035*(10*H23/((1/COS(M$1))-0.8))^(3/(1+1/(DATOS!E$6))))</f>
        <v>0</v>
      </c>
      <c r="J23" s="116">
        <f t="shared" si="28"/>
        <v>110229.72322876111</v>
      </c>
      <c r="K23" s="116">
        <f t="shared" si="29"/>
        <v>3813803.6197285228</v>
      </c>
      <c r="L23" s="11">
        <f t="shared" si="4"/>
        <v>0.8862224899352813</v>
      </c>
      <c r="M23" s="116">
        <f t="shared" si="5"/>
        <v>6.245235791076463E-2</v>
      </c>
      <c r="N23" s="116">
        <f t="shared" si="6"/>
        <v>119090.5143303277</v>
      </c>
      <c r="O23" s="116">
        <f>EDisponible!C36</f>
        <v>0.29790449252048429</v>
      </c>
      <c r="P23" s="116">
        <f t="shared" si="30"/>
        <v>-0.5020955074795157</v>
      </c>
      <c r="Q23" s="116">
        <f>IF(P23&lt;0, 0, 0.00035*(10*P23/((1/COS(M$1))-0.8))^(3/(1+1/(DATOS!E$6))))</f>
        <v>0</v>
      </c>
      <c r="R23" s="116">
        <f t="shared" si="31"/>
        <v>119090.5143303277</v>
      </c>
      <c r="S23" s="116">
        <f t="shared" si="32"/>
        <v>3277481.6792566502</v>
      </c>
      <c r="T23" s="116">
        <f t="shared" si="7"/>
        <v>1.0312425425263014</v>
      </c>
      <c r="U23" s="116">
        <f t="shared" si="8"/>
        <v>7.9916713517984114E-2</v>
      </c>
      <c r="V23" s="116">
        <f t="shared" si="9"/>
        <v>130962.78221079761</v>
      </c>
      <c r="W23" s="116">
        <f>EDisponible!D36</f>
        <v>0.30326217514262482</v>
      </c>
      <c r="X23" s="116">
        <f t="shared" si="33"/>
        <v>-0.49673782485737522</v>
      </c>
      <c r="Y23" s="116">
        <f>IF(X23&lt;0, 0, 0.00035*(10*X23/((1/COS(M$1))-0.8))^(3/(1+1/(DATOS!E$6))))</f>
        <v>0</v>
      </c>
      <c r="Z23" s="116">
        <f t="shared" si="34"/>
        <v>130962.78221079761</v>
      </c>
      <c r="AA23" s="116">
        <f t="shared" si="35"/>
        <v>2800861.878567548</v>
      </c>
      <c r="AB23" s="116">
        <f t="shared" si="10"/>
        <v>1.2067280310618458</v>
      </c>
      <c r="AC23" s="116">
        <f t="shared" si="11"/>
        <v>0.10458236755191655</v>
      </c>
      <c r="AD23" s="116">
        <f t="shared" si="36"/>
        <v>146460.38322325138</v>
      </c>
      <c r="AE23" s="116">
        <f>EDisponible!E36</f>
        <v>0.30891972734379364</v>
      </c>
      <c r="AF23" s="116">
        <f t="shared" si="37"/>
        <v>-0.49108027265620641</v>
      </c>
      <c r="AG23" s="116">
        <f>IF(AF23&lt;0, 0, 0.00035*(10*AF23/((1/COS(M$1))-0.8))^(3/(1+1/(DATOS!E$6))))</f>
        <v>0</v>
      </c>
      <c r="AH23" s="116">
        <f t="shared" si="38"/>
        <v>146460.38322325138</v>
      </c>
      <c r="AI23" s="116">
        <f t="shared" si="39"/>
        <v>2379173.816245608</v>
      </c>
      <c r="AJ23" s="116">
        <f t="shared" si="12"/>
        <v>1.4206101785928056</v>
      </c>
      <c r="AK23" s="116">
        <f t="shared" si="13"/>
        <v>0.13987528601183388</v>
      </c>
      <c r="AL23" s="116">
        <f t="shared" si="14"/>
        <v>166393.80900961036</v>
      </c>
      <c r="AM23" s="116">
        <f>EDisponible!F36</f>
        <v>0.31490620799906188</v>
      </c>
      <c r="AN23" s="116">
        <f t="shared" si="40"/>
        <v>-0.48509379200093816</v>
      </c>
      <c r="AO23" s="116">
        <f>IF(AN23&lt;0, 0, 0.00035*(10*AN23/((1/COS(M$1))-0.8))^(3/(1+1/(DATOS!E$6))))</f>
        <v>0</v>
      </c>
      <c r="AP23" s="116">
        <f t="shared" si="41"/>
        <v>166393.80900961036</v>
      </c>
      <c r="AQ23" s="116">
        <f t="shared" si="42"/>
        <v>2007867.2253549274</v>
      </c>
      <c r="AR23" s="116">
        <f t="shared" si="15"/>
        <v>1.6833177499585634</v>
      </c>
      <c r="AS23" s="116">
        <f t="shared" si="16"/>
        <v>0.19108841052961967</v>
      </c>
      <c r="AT23" s="116">
        <f t="shared" si="17"/>
        <v>191840.07832379537</v>
      </c>
      <c r="AU23" s="116">
        <f>EDisponible!G36</f>
        <v>0.32125477756818677</v>
      </c>
      <c r="AV23" s="116">
        <f t="shared" si="43"/>
        <v>-0.47874522243181328</v>
      </c>
      <c r="AW23" s="116">
        <f>IF(AV23&lt;0, 0, 0.00035*(10*AV23/((1/COS(M$1))-0.8))^(3/(1+1/(DATOS!E$6))))</f>
        <v>0</v>
      </c>
      <c r="AX23" s="116">
        <f t="shared" si="18"/>
        <v>191840.07832379537</v>
      </c>
      <c r="AY23" s="116">
        <f t="shared" si="44"/>
        <v>1682609.822613271</v>
      </c>
      <c r="AZ23" s="116">
        <f t="shared" si="19"/>
        <v>2.0087119988106874</v>
      </c>
      <c r="BA23" s="116">
        <f t="shared" si="20"/>
        <v>0.2665406473707036</v>
      </c>
      <c r="BB23" s="116">
        <f t="shared" si="21"/>
        <v>224241.95569582298</v>
      </c>
      <c r="BC23" s="116">
        <f>EDisponible!H36</f>
        <v>0.32800347376744443</v>
      </c>
      <c r="BD23" s="116">
        <f t="shared" si="45"/>
        <v>-0.47199652623255561</v>
      </c>
      <c r="BE23" s="116">
        <f>IF(BD23&lt;0, 0, 0.00035*(10*BD23/((1/COS(M$1))-0.8))^(3/(1+1/(DATOS!E$6))))</f>
        <v>0</v>
      </c>
      <c r="BF23" s="116">
        <f t="shared" si="22"/>
        <v>224241.95569582298</v>
      </c>
      <c r="BG23" s="116">
        <f t="shared" si="46"/>
        <v>1399285.0940248212</v>
      </c>
      <c r="BH23" s="116">
        <f t="shared" si="23"/>
        <v>2.4154323907491335</v>
      </c>
      <c r="BI23" s="116">
        <f t="shared" si="24"/>
        <v>0.37955205767873845</v>
      </c>
      <c r="BJ23" s="116">
        <f t="shared" si="25"/>
        <v>265550.76835815393</v>
      </c>
      <c r="BK23" s="116">
        <f>EDisponible!I36</f>
        <v>0.33519617441107391</v>
      </c>
      <c r="BL23" s="116">
        <f t="shared" si="47"/>
        <v>-0.46480382558892613</v>
      </c>
      <c r="BM23" s="116">
        <f>IF(BL23&lt;0, 0, 0.00035*(10*BL23/((1/COS(M$1))-0.8))^(3/(1+1/(DATOS!E$6))))</f>
        <v>0</v>
      </c>
      <c r="BN23" s="116">
        <f t="shared" si="26"/>
        <v>265550.76835815393</v>
      </c>
    </row>
    <row r="24" spans="1:66">
      <c r="A24" s="41">
        <f>EDisponible!A37</f>
        <v>105</v>
      </c>
      <c r="B24" s="44"/>
      <c r="C24" s="116">
        <f t="shared" si="0"/>
        <v>4867339.4108274095</v>
      </c>
      <c r="D24" s="116">
        <f t="shared" si="1"/>
        <v>0.69439960001175416</v>
      </c>
      <c r="E24" s="116">
        <f t="shared" si="2"/>
        <v>4.3409789190902187E-2</v>
      </c>
      <c r="F24" s="116">
        <f t="shared" si="3"/>
        <v>105645.08887229396</v>
      </c>
      <c r="G24" s="116">
        <f>EDisponible!B37</f>
        <v>0.30746214675839856</v>
      </c>
      <c r="H24" s="116">
        <f t="shared" si="27"/>
        <v>-0.49253785324160149</v>
      </c>
      <c r="I24" s="116">
        <f>IF(H24&lt;0, 0, 0.00035*(10*H24/((1/COS(M$1))-0.8))^(3/(1+1/(DATOS!E$6))))</f>
        <v>0</v>
      </c>
      <c r="J24" s="116">
        <f t="shared" si="28"/>
        <v>105645.08887229396</v>
      </c>
      <c r="K24" s="116">
        <f t="shared" si="29"/>
        <v>4204718.4907506965</v>
      </c>
      <c r="L24" s="11">
        <f t="shared" si="4"/>
        <v>0.80382992284379251</v>
      </c>
      <c r="M24" s="116">
        <f t="shared" si="5"/>
        <v>5.3706845458243592E-2</v>
      </c>
      <c r="N24" s="116">
        <f t="shared" si="6"/>
        <v>112911.08308908345</v>
      </c>
      <c r="O24" s="116">
        <f>EDisponible!C37</f>
        <v>0.3127997171465085</v>
      </c>
      <c r="P24" s="116">
        <f t="shared" si="30"/>
        <v>-0.48720028285349154</v>
      </c>
      <c r="Q24" s="116">
        <f>IF(P24&lt;0, 0, 0.00035*(10*P24/((1/COS(M$1))-0.8))^(3/(1+1/(DATOS!E$6))))</f>
        <v>0</v>
      </c>
      <c r="R24" s="116">
        <f t="shared" si="31"/>
        <v>112911.08308908345</v>
      </c>
      <c r="S24" s="116">
        <f t="shared" si="32"/>
        <v>3613423.5513804569</v>
      </c>
      <c r="T24" s="116">
        <f t="shared" si="7"/>
        <v>0.93536738551138454</v>
      </c>
      <c r="U24" s="116">
        <f t="shared" si="8"/>
        <v>6.8074814036948553E-2</v>
      </c>
      <c r="V24" s="116">
        <f t="shared" si="9"/>
        <v>122991.56814847741</v>
      </c>
      <c r="W24" s="116">
        <f>EDisponible!D37</f>
        <v>0.31842528389975605</v>
      </c>
      <c r="X24" s="116">
        <f t="shared" si="33"/>
        <v>-0.48157471610024399</v>
      </c>
      <c r="Y24" s="116">
        <f>IF(X24&lt;0, 0, 0.00035*(10*X24/((1/COS(M$1))-0.8))^(3/(1+1/(DATOS!E$6))))</f>
        <v>0</v>
      </c>
      <c r="Z24" s="116">
        <f t="shared" si="34"/>
        <v>122991.56814847741</v>
      </c>
      <c r="AA24" s="116">
        <f t="shared" si="35"/>
        <v>3087950.2211207217</v>
      </c>
      <c r="AB24" s="116">
        <f t="shared" si="10"/>
        <v>1.0945378966547354</v>
      </c>
      <c r="AC24" s="116">
        <f t="shared" si="11"/>
        <v>8.8367308653025126E-2</v>
      </c>
      <c r="AD24" s="116">
        <f t="shared" si="36"/>
        <v>136436.92514747599</v>
      </c>
      <c r="AE24" s="116">
        <f>EDisponible!E37</f>
        <v>0.32436571371098333</v>
      </c>
      <c r="AF24" s="116">
        <f t="shared" si="37"/>
        <v>-0.47563428628901672</v>
      </c>
      <c r="AG24" s="116">
        <f>IF(AF24&lt;0, 0, 0.00035*(10*AF24/((1/COS(M$1))-0.8))^(3/(1+1/(DATOS!E$6))))</f>
        <v>0</v>
      </c>
      <c r="AH24" s="116">
        <f t="shared" si="38"/>
        <v>136436.92514747599</v>
      </c>
      <c r="AI24" s="116">
        <f t="shared" si="39"/>
        <v>2623039.1324107829</v>
      </c>
      <c r="AJ24" s="116">
        <f t="shared" si="12"/>
        <v>1.2885353093812295</v>
      </c>
      <c r="AK24" s="116">
        <f t="shared" si="13"/>
        <v>0.11740288001262722</v>
      </c>
      <c r="AL24" s="116">
        <f t="shared" si="14"/>
        <v>153976.17426542446</v>
      </c>
      <c r="AM24" s="116">
        <f>EDisponible!F37</f>
        <v>0.33065151839901502</v>
      </c>
      <c r="AN24" s="116">
        <f t="shared" si="40"/>
        <v>-0.46934848160098502</v>
      </c>
      <c r="AO24" s="116">
        <f>IF(AN24&lt;0, 0, 0.00035*(10*AN24/((1/COS(M$1))-0.8))^(3/(1+1/(DATOS!E$6))))</f>
        <v>0</v>
      </c>
      <c r="AP24" s="116">
        <f t="shared" si="41"/>
        <v>153976.17426542446</v>
      </c>
      <c r="AQ24" s="116">
        <f t="shared" si="42"/>
        <v>2213673.6159538077</v>
      </c>
      <c r="AR24" s="116">
        <f t="shared" si="15"/>
        <v>1.5268188208240936</v>
      </c>
      <c r="AS24" s="116">
        <f t="shared" si="16"/>
        <v>0.15953604429523432</v>
      </c>
      <c r="AT24" s="116">
        <f t="shared" si="17"/>
        <v>176580.36602499909</v>
      </c>
      <c r="AU24" s="116">
        <f>EDisponible!G37</f>
        <v>0.33731751644659613</v>
      </c>
      <c r="AV24" s="116">
        <f t="shared" si="43"/>
        <v>-0.46268248355340391</v>
      </c>
      <c r="AW24" s="116">
        <f>IF(AV24&lt;0, 0, 0.00035*(10*AV24/((1/COS(M$1))-0.8))^(3/(1+1/(DATOS!E$6))))</f>
        <v>0</v>
      </c>
      <c r="AX24" s="116">
        <f t="shared" si="18"/>
        <v>176580.36602499909</v>
      </c>
      <c r="AY24" s="116">
        <f t="shared" si="44"/>
        <v>1855077.3294311315</v>
      </c>
      <c r="AZ24" s="116">
        <f t="shared" si="19"/>
        <v>1.8219609966536847</v>
      </c>
      <c r="BA24" s="116">
        <f t="shared" si="20"/>
        <v>0.22161078627297734</v>
      </c>
      <c r="BB24" s="116">
        <f t="shared" si="21"/>
        <v>205552.57278620402</v>
      </c>
      <c r="BC24" s="116">
        <f>EDisponible!H37</f>
        <v>0.34440364745581664</v>
      </c>
      <c r="BD24" s="116">
        <f t="shared" si="45"/>
        <v>-0.4555963525441834</v>
      </c>
      <c r="BE24" s="116">
        <f>IF(BD24&lt;0, 0, 0.00035*(10*BD24/((1/COS(M$1))-0.8))^(3/(1+1/(DATOS!E$6))))</f>
        <v>0</v>
      </c>
      <c r="BF24" s="116">
        <f t="shared" si="22"/>
        <v>205552.57278620402</v>
      </c>
      <c r="BG24" s="116">
        <f t="shared" si="46"/>
        <v>1542711.816162365</v>
      </c>
      <c r="BH24" s="116">
        <f t="shared" si="23"/>
        <v>2.1908683816318675</v>
      </c>
      <c r="BI24" s="116">
        <f t="shared" si="24"/>
        <v>0.31458555321311854</v>
      </c>
      <c r="BJ24" s="116">
        <f t="shared" si="25"/>
        <v>242657.4250679262</v>
      </c>
      <c r="BK24" s="116">
        <f>EDisponible!I37</f>
        <v>0.35195598313162763</v>
      </c>
      <c r="BL24" s="116">
        <f t="shared" si="47"/>
        <v>-0.44804401686837242</v>
      </c>
      <c r="BM24" s="116">
        <f>IF(BL24&lt;0, 0, 0.00035*(10*BL24/((1/COS(M$1))-0.8))^(3/(1+1/(DATOS!E$6))))</f>
        <v>0</v>
      </c>
      <c r="BN24" s="116">
        <f t="shared" si="26"/>
        <v>242657.4250679262</v>
      </c>
    </row>
    <row r="25" spans="1:66">
      <c r="A25" s="41">
        <f>EDisponible!A38</f>
        <v>110</v>
      </c>
      <c r="B25" s="44"/>
      <c r="C25" s="116">
        <f t="shared" si="0"/>
        <v>5341932.5960101271</v>
      </c>
      <c r="D25" s="116">
        <f t="shared" si="1"/>
        <v>0.6327070735644289</v>
      </c>
      <c r="E25" s="116">
        <f t="shared" si="2"/>
        <v>3.8267749272057436E-2</v>
      </c>
      <c r="F25" s="116">
        <f t="shared" si="3"/>
        <v>102211.86860617322</v>
      </c>
      <c r="G25" s="116">
        <f>EDisponible!B38</f>
        <v>0.32210320136594134</v>
      </c>
      <c r="H25" s="116">
        <f t="shared" si="27"/>
        <v>-0.47789679863405871</v>
      </c>
      <c r="I25" s="116">
        <f>IF(H25&lt;0, 0, 0.00035*(10*H25/((1/COS(M$1))-0.8))^(3/(1+1/(DATOS!E$6))))</f>
        <v>0</v>
      </c>
      <c r="J25" s="116">
        <f t="shared" si="28"/>
        <v>102211.86860617322</v>
      </c>
      <c r="K25" s="116">
        <f t="shared" si="29"/>
        <v>4614702.3798715118</v>
      </c>
      <c r="L25" s="11">
        <f t="shared" si="4"/>
        <v>0.73241528093824915</v>
      </c>
      <c r="M25" s="116">
        <f t="shared" si="5"/>
        <v>4.6816438739686127E-2</v>
      </c>
      <c r="N25" s="116">
        <f t="shared" si="6"/>
        <v>108021.96563456921</v>
      </c>
      <c r="O25" s="116">
        <f>EDisponible!C38</f>
        <v>0.32769494177253272</v>
      </c>
      <c r="P25" s="116">
        <f t="shared" si="30"/>
        <v>-0.47230505822746732</v>
      </c>
      <c r="Q25" s="116">
        <f>IF(P25&lt;0, 0, 0.00035*(10*P25/((1/COS(M$1))-0.8))^(3/(1+1/(DATOS!E$6))))</f>
        <v>0</v>
      </c>
      <c r="R25" s="116">
        <f t="shared" si="31"/>
        <v>108021.96563456921</v>
      </c>
      <c r="S25" s="116">
        <f t="shared" si="32"/>
        <v>3965752.8319005468</v>
      </c>
      <c r="T25" s="116">
        <f t="shared" si="7"/>
        <v>0.85226656407132351</v>
      </c>
      <c r="U25" s="116">
        <f t="shared" si="8"/>
        <v>5.8744828608697432E-2</v>
      </c>
      <c r="V25" s="116">
        <f t="shared" si="9"/>
        <v>116483.73520722704</v>
      </c>
      <c r="W25" s="116">
        <f>EDisponible!D38</f>
        <v>0.33358839265688733</v>
      </c>
      <c r="X25" s="116">
        <f t="shared" si="33"/>
        <v>-0.46641160734311271</v>
      </c>
      <c r="Y25" s="116">
        <f>IF(X25&lt;0, 0, 0.00035*(10*X25/((1/COS(M$1))-0.8))^(3/(1+1/(DATOS!E$6))))</f>
        <v>0</v>
      </c>
      <c r="Z25" s="116">
        <f t="shared" si="34"/>
        <v>116483.73520722704</v>
      </c>
      <c r="AA25" s="116">
        <f t="shared" si="35"/>
        <v>3389042.8730667331</v>
      </c>
      <c r="AB25" s="116">
        <f t="shared" si="10"/>
        <v>0.99729589343954206</v>
      </c>
      <c r="AC25" s="116">
        <f t="shared" si="11"/>
        <v>7.5591802199253044E-2</v>
      </c>
      <c r="AD25" s="116">
        <f t="shared" si="36"/>
        <v>128091.92925282437</v>
      </c>
      <c r="AE25" s="116">
        <f>EDisponible!E38</f>
        <v>0.33981170007817302</v>
      </c>
      <c r="AF25" s="116">
        <f t="shared" si="37"/>
        <v>-0.46018829992182703</v>
      </c>
      <c r="AG25" s="116">
        <f>IF(AF25&lt;0, 0, 0.00035*(10*AF25/((1/COS(M$1))-0.8))^(3/(1+1/(DATOS!E$6))))</f>
        <v>0</v>
      </c>
      <c r="AH25" s="116">
        <f t="shared" si="38"/>
        <v>128091.92925282437</v>
      </c>
      <c r="AI25" s="116">
        <f t="shared" si="39"/>
        <v>2878800.3176571857</v>
      </c>
      <c r="AJ25" s="116">
        <f t="shared" si="12"/>
        <v>1.1740579988370294</v>
      </c>
      <c r="AK25" s="116">
        <f t="shared" si="13"/>
        <v>9.9697340386478872E-2</v>
      </c>
      <c r="AL25" s="116">
        <f t="shared" si="14"/>
        <v>143504.36758708599</v>
      </c>
      <c r="AM25" s="116">
        <f>EDisponible!F38</f>
        <v>0.3463968287989681</v>
      </c>
      <c r="AN25" s="116">
        <f t="shared" si="40"/>
        <v>-0.45360317120103194</v>
      </c>
      <c r="AO25" s="116">
        <f>IF(AN25&lt;0, 0, 0.00035*(10*AN25/((1/COS(M$1))-0.8))^(3/(1+1/(DATOS!E$6))))</f>
        <v>0</v>
      </c>
      <c r="AP25" s="116">
        <f t="shared" si="41"/>
        <v>143504.36758708599</v>
      </c>
      <c r="AQ25" s="116">
        <f t="shared" si="42"/>
        <v>2429519.3426794619</v>
      </c>
      <c r="AR25" s="116">
        <f t="shared" si="15"/>
        <v>1.3911716941806309</v>
      </c>
      <c r="AS25" s="116">
        <f t="shared" si="16"/>
        <v>0.13467659352341332</v>
      </c>
      <c r="AT25" s="116">
        <f t="shared" si="17"/>
        <v>163599.6944856561</v>
      </c>
      <c r="AU25" s="116">
        <f>EDisponible!G38</f>
        <v>0.35338025532500544</v>
      </c>
      <c r="AV25" s="116">
        <f t="shared" si="43"/>
        <v>-0.4466197446749946</v>
      </c>
      <c r="AW25" s="116">
        <f>IF(AV25&lt;0, 0, 0.00035*(10*AV25/((1/COS(M$1))-0.8))^(3/(1+1/(DATOS!E$6))))</f>
        <v>0</v>
      </c>
      <c r="AX25" s="116">
        <f t="shared" si="18"/>
        <v>163599.6944856561</v>
      </c>
      <c r="AY25" s="116">
        <f t="shared" si="44"/>
        <v>2035957.8853620582</v>
      </c>
      <c r="AZ25" s="116">
        <f t="shared" si="19"/>
        <v>1.6600925610005681</v>
      </c>
      <c r="BA25" s="116">
        <f t="shared" si="20"/>
        <v>0.18621148652326575</v>
      </c>
      <c r="BB25" s="116">
        <f t="shared" si="21"/>
        <v>189559.37216601675</v>
      </c>
      <c r="BC25" s="116">
        <f>EDisponible!H38</f>
        <v>0.36080382114418885</v>
      </c>
      <c r="BD25" s="116">
        <f t="shared" si="45"/>
        <v>-0.43919617885581119</v>
      </c>
      <c r="BE25" s="116">
        <f>IF(BD25&lt;0, 0, 0.00035*(10*BD25/((1/COS(M$1))-0.8))^(3/(1+1/(DATOS!E$6))))</f>
        <v>0</v>
      </c>
      <c r="BF25" s="116">
        <f t="shared" si="22"/>
        <v>189559.37216601675</v>
      </c>
      <c r="BG25" s="116">
        <f t="shared" si="46"/>
        <v>1693134.9637700336</v>
      </c>
      <c r="BH25" s="116">
        <f t="shared" si="23"/>
        <v>1.996225116321598</v>
      </c>
      <c r="BI25" s="116">
        <f t="shared" si="24"/>
        <v>0.26339980037343647</v>
      </c>
      <c r="BJ25" s="116">
        <f t="shared" si="25"/>
        <v>222985.70573115622</v>
      </c>
      <c r="BK25" s="116">
        <f>EDisponible!I38</f>
        <v>0.36871579185218134</v>
      </c>
      <c r="BL25" s="116">
        <f t="shared" si="47"/>
        <v>-0.4312842081478187</v>
      </c>
      <c r="BM25" s="116">
        <f>IF(BL25&lt;0, 0, 0.00035*(10*BL25/((1/COS(M$1))-0.8))^(3/(1+1/(DATOS!E$6))))</f>
        <v>0</v>
      </c>
      <c r="BN25" s="116">
        <f t="shared" si="26"/>
        <v>222985.70573115622</v>
      </c>
    </row>
    <row r="26" spans="1:66">
      <c r="A26" s="41">
        <f>EDisponible!A39</f>
        <v>115</v>
      </c>
      <c r="B26" s="44"/>
      <c r="C26" s="116">
        <f t="shared" si="0"/>
        <v>5838599.8828292508</v>
      </c>
      <c r="D26" s="116">
        <f t="shared" si="1"/>
        <v>0.57888511078484606</v>
      </c>
      <c r="E26" s="116">
        <f t="shared" si="2"/>
        <v>3.4172191565557772E-2</v>
      </c>
      <c r="F26" s="116">
        <f t="shared" si="3"/>
        <v>99758.876835342162</v>
      </c>
      <c r="G26" s="116">
        <f>EDisponible!B39</f>
        <v>0.33674425597348412</v>
      </c>
      <c r="H26" s="116">
        <f t="shared" si="27"/>
        <v>-0.46325574402651593</v>
      </c>
      <c r="I26" s="116">
        <f>IF(H26&lt;0, 0, 0.00035*(10*H26/((1/COS(M$1))-0.8))^(3/(1+1/(DATOS!E$6))))</f>
        <v>0</v>
      </c>
      <c r="J26" s="116">
        <f t="shared" si="28"/>
        <v>99758.876835342162</v>
      </c>
      <c r="K26" s="116">
        <f t="shared" si="29"/>
        <v>5043755.2870909711</v>
      </c>
      <c r="L26" s="11">
        <f t="shared" si="4"/>
        <v>0.67011152358055293</v>
      </c>
      <c r="M26" s="116">
        <f t="shared" si="5"/>
        <v>4.1328333088525536E-2</v>
      </c>
      <c r="N26" s="116">
        <f t="shared" si="6"/>
        <v>104224.9992609537</v>
      </c>
      <c r="O26" s="116">
        <f>EDisponible!C39</f>
        <v>0.34259016639855688</v>
      </c>
      <c r="P26" s="116">
        <f t="shared" si="30"/>
        <v>-0.45740983360144316</v>
      </c>
      <c r="Q26" s="116">
        <f>IF(P26&lt;0, 0, 0.00035*(10*P26/((1/COS(M$1))-0.8))^(3/(1+1/(DATOS!E$6))))</f>
        <v>0</v>
      </c>
      <c r="R26" s="116">
        <f t="shared" si="31"/>
        <v>104224.9992609537</v>
      </c>
      <c r="S26" s="116">
        <f t="shared" si="32"/>
        <v>4334469.5208169194</v>
      </c>
      <c r="T26" s="116">
        <f t="shared" si="7"/>
        <v>0.77976751797829991</v>
      </c>
      <c r="U26" s="116">
        <f t="shared" si="8"/>
        <v>5.1313635089144174E-2</v>
      </c>
      <c r="V26" s="116">
        <f t="shared" si="9"/>
        <v>111208.6936481085</v>
      </c>
      <c r="W26" s="116">
        <f>EDisponible!D39</f>
        <v>0.34875150141401856</v>
      </c>
      <c r="X26" s="116">
        <f t="shared" si="33"/>
        <v>-0.45124849858598148</v>
      </c>
      <c r="Y26" s="116">
        <f>IF(X26&lt;0, 0, 0.00035*(10*X26/((1/COS(M$1))-0.8))^(3/(1+1/(DATOS!E$6))))</f>
        <v>0</v>
      </c>
      <c r="Z26" s="116">
        <f t="shared" si="34"/>
        <v>111208.6936481085</v>
      </c>
      <c r="AA26" s="116">
        <f t="shared" si="35"/>
        <v>3704139.8344055824</v>
      </c>
      <c r="AB26" s="116">
        <f t="shared" si="10"/>
        <v>0.91245975883693442</v>
      </c>
      <c r="AC26" s="116">
        <f t="shared" si="11"/>
        <v>6.5416302837719931E-2</v>
      </c>
      <c r="AD26" s="116">
        <f t="shared" si="36"/>
        <v>121155.56658036867</v>
      </c>
      <c r="AE26" s="116">
        <f>EDisponible!E39</f>
        <v>0.35525768644536271</v>
      </c>
      <c r="AF26" s="116">
        <f t="shared" si="37"/>
        <v>-0.44474231355463734</v>
      </c>
      <c r="AG26" s="116">
        <f>IF(AF26&lt;0, 0, 0.00035*(10*AF26/((1/COS(M$1))-0.8))^(3/(1+1/(DATOS!E$6))))</f>
        <v>0</v>
      </c>
      <c r="AH26" s="116">
        <f t="shared" si="38"/>
        <v>121155.56658036867</v>
      </c>
      <c r="AI26" s="116">
        <f t="shared" si="39"/>
        <v>3146457.3719848166</v>
      </c>
      <c r="AJ26" s="116">
        <f t="shared" si="12"/>
        <v>1.0741853902403067</v>
      </c>
      <c r="AK26" s="116">
        <f t="shared" si="13"/>
        <v>8.5595143513627944E-2</v>
      </c>
      <c r="AL26" s="116">
        <f t="shared" si="14"/>
        <v>134660.7351572765</v>
      </c>
      <c r="AM26" s="116">
        <f>EDisponible!F39</f>
        <v>0.36214213919892119</v>
      </c>
      <c r="AN26" s="116">
        <f t="shared" si="40"/>
        <v>-0.43785786080107886</v>
      </c>
      <c r="AO26" s="116">
        <f>IF(AN26&lt;0, 0, 0.00035*(10*AN26/((1/COS(M$1))-0.8))^(3/(1+1/(DATOS!E$6))))</f>
        <v>0</v>
      </c>
      <c r="AP26" s="116">
        <f t="shared" si="41"/>
        <v>134660.7351572765</v>
      </c>
      <c r="AQ26" s="116">
        <f t="shared" si="42"/>
        <v>2655404.4055318916</v>
      </c>
      <c r="AR26" s="116">
        <f t="shared" si="15"/>
        <v>1.2728300566794428</v>
      </c>
      <c r="AS26" s="116">
        <f t="shared" si="16"/>
        <v>0.11487641367363208</v>
      </c>
      <c r="AT26" s="116">
        <f t="shared" si="17"/>
        <v>152521.66748033333</v>
      </c>
      <c r="AU26" s="116">
        <f>EDisponible!G39</f>
        <v>0.36944299420341481</v>
      </c>
      <c r="AV26" s="116">
        <f t="shared" si="43"/>
        <v>-0.43055700579658523</v>
      </c>
      <c r="AW26" s="116">
        <f>IF(AV26&lt;0, 0, 0.00035*(10*AV26/((1/COS(M$1))-0.8))^(3/(1+1/(DATOS!E$6))))</f>
        <v>0</v>
      </c>
      <c r="AX26" s="116">
        <f t="shared" si="18"/>
        <v>152521.66748033333</v>
      </c>
      <c r="AY26" s="116">
        <f t="shared" si="44"/>
        <v>2225251.4904060508</v>
      </c>
      <c r="AZ26" s="116">
        <f t="shared" si="19"/>
        <v>1.5188748573237714</v>
      </c>
      <c r="BA26" s="116">
        <f t="shared" si="20"/>
        <v>0.15801647497477608</v>
      </c>
      <c r="BB26" s="116">
        <f t="shared" si="21"/>
        <v>175813.19822316547</v>
      </c>
      <c r="BC26" s="116">
        <f>EDisponible!H39</f>
        <v>0.37720399483256112</v>
      </c>
      <c r="BD26" s="116">
        <f t="shared" si="45"/>
        <v>-0.42279600516743893</v>
      </c>
      <c r="BE26" s="116">
        <f>IF(BD26&lt;0, 0, 0.00035*(10*BD26/((1/COS(M$1))-0.8))^(3/(1+1/(DATOS!E$6))))</f>
        <v>0</v>
      </c>
      <c r="BF26" s="116">
        <f t="shared" si="22"/>
        <v>175813.19822316547</v>
      </c>
      <c r="BG26" s="116">
        <f t="shared" si="46"/>
        <v>1850554.5368478259</v>
      </c>
      <c r="BH26" s="116">
        <f t="shared" si="23"/>
        <v>1.8264139060484943</v>
      </c>
      <c r="BI26" s="116">
        <f t="shared" si="24"/>
        <v>0.222631115607441</v>
      </c>
      <c r="BJ26" s="116">
        <f t="shared" si="25"/>
        <v>205995.5105154214</v>
      </c>
      <c r="BK26" s="116">
        <f>EDisponible!I39</f>
        <v>0.385475600572735</v>
      </c>
      <c r="BL26" s="116">
        <f t="shared" si="47"/>
        <v>-0.41452439942726504</v>
      </c>
      <c r="BM26" s="116">
        <f>IF(BL26&lt;0, 0, 0.00035*(10*BL26/((1/COS(M$1))-0.8))^(3/(1+1/(DATOS!E$6))))</f>
        <v>0</v>
      </c>
      <c r="BN26" s="116">
        <f t="shared" si="26"/>
        <v>205995.5105154214</v>
      </c>
    </row>
    <row r="27" spans="1:66">
      <c r="A27" s="41">
        <f>EDisponible!A40</f>
        <v>120</v>
      </c>
      <c r="B27" s="44"/>
      <c r="C27" s="116">
        <f t="shared" si="0"/>
        <v>6357341.2712847795</v>
      </c>
      <c r="D27" s="116">
        <f t="shared" si="1"/>
        <v>0.53164969375899929</v>
      </c>
      <c r="E27" s="116">
        <f t="shared" si="2"/>
        <v>3.0877634891737823E-2</v>
      </c>
      <c r="F27" s="116">
        <f t="shared" si="3"/>
        <v>98149.831328453904</v>
      </c>
      <c r="G27" s="116">
        <f>EDisponible!B40</f>
        <v>0.3513853105810269</v>
      </c>
      <c r="H27" s="116">
        <f t="shared" si="27"/>
        <v>-0.44861468941897314</v>
      </c>
      <c r="I27" s="116">
        <f>IF(H27&lt;0, 0, 0.00035*(10*H27/((1/COS(M$1))-0.8))^(3/(1+1/(DATOS!E$6))))</f>
        <v>0</v>
      </c>
      <c r="J27" s="116">
        <f t="shared" si="28"/>
        <v>98149.831328453904</v>
      </c>
      <c r="K27" s="116">
        <f t="shared" si="29"/>
        <v>5491877.2124090726</v>
      </c>
      <c r="L27" s="11">
        <f t="shared" si="4"/>
        <v>0.61543228467727873</v>
      </c>
      <c r="M27" s="116">
        <f t="shared" si="5"/>
        <v>3.6913580228135949E-2</v>
      </c>
      <c r="N27" s="116">
        <f t="shared" si="6"/>
        <v>101362.42504166695</v>
      </c>
      <c r="O27" s="116">
        <f>EDisponible!C40</f>
        <v>0.3574853910245811</v>
      </c>
      <c r="P27" s="116">
        <f t="shared" si="30"/>
        <v>-0.44251460897541894</v>
      </c>
      <c r="Q27" s="116">
        <f>IF(P27&lt;0, 0, 0.00035*(10*P27/((1/COS(M$1))-0.8))^(3/(1+1/(DATOS!E$6))))</f>
        <v>0</v>
      </c>
      <c r="R27" s="116">
        <f t="shared" si="31"/>
        <v>101362.42504166695</v>
      </c>
      <c r="S27" s="116">
        <f t="shared" si="32"/>
        <v>4719573.6181295766</v>
      </c>
      <c r="T27" s="116">
        <f t="shared" si="7"/>
        <v>0.71614065453215381</v>
      </c>
      <c r="U27" s="116">
        <f t="shared" si="8"/>
        <v>4.5335819622049661E-2</v>
      </c>
      <c r="V27" s="116">
        <f t="shared" si="9"/>
        <v>106982.86912225338</v>
      </c>
      <c r="W27" s="116">
        <f>EDisponible!D40</f>
        <v>0.36391461017114979</v>
      </c>
      <c r="X27" s="116">
        <f t="shared" si="33"/>
        <v>-0.43608538982885026</v>
      </c>
      <c r="Y27" s="116">
        <f>IF(X27&lt;0, 0, 0.00035*(10*X27/((1/COS(M$1))-0.8))^(3/(1+1/(DATOS!E$6))))</f>
        <v>0</v>
      </c>
      <c r="Z27" s="116">
        <f t="shared" si="34"/>
        <v>106982.86912225338</v>
      </c>
      <c r="AA27" s="116">
        <f t="shared" si="35"/>
        <v>4033241.105137269</v>
      </c>
      <c r="AB27" s="116">
        <f t="shared" si="10"/>
        <v>0.83800557712628188</v>
      </c>
      <c r="AC27" s="116">
        <f t="shared" si="11"/>
        <v>5.7230907408475418E-2</v>
      </c>
      <c r="AD27" s="116">
        <f t="shared" si="36"/>
        <v>115413.02412208405</v>
      </c>
      <c r="AE27" s="116">
        <f>EDisponible!E40</f>
        <v>0.3707036728125524</v>
      </c>
      <c r="AF27" s="116">
        <f t="shared" si="37"/>
        <v>-0.42929632718744765</v>
      </c>
      <c r="AG27" s="116">
        <f>IF(AF27&lt;0, 0, 0.00035*(10*AF27/((1/COS(M$1))-0.8))^(3/(1+1/(DATOS!E$6))))</f>
        <v>0</v>
      </c>
      <c r="AH27" s="116">
        <f t="shared" si="38"/>
        <v>115413.02412208405</v>
      </c>
      <c r="AI27" s="116">
        <f t="shared" si="39"/>
        <v>3426010.2953936756</v>
      </c>
      <c r="AJ27" s="116">
        <f t="shared" si="12"/>
        <v>0.98653484624500387</v>
      </c>
      <c r="AK27" s="116">
        <f t="shared" si="13"/>
        <v>7.4251026264531228E-2</v>
      </c>
      <c r="AL27" s="116">
        <f t="shared" si="14"/>
        <v>127192.3902129151</v>
      </c>
      <c r="AM27" s="116">
        <f>EDisponible!F40</f>
        <v>0.37788744959887427</v>
      </c>
      <c r="AN27" s="116">
        <f t="shared" si="40"/>
        <v>-0.42211255040112577</v>
      </c>
      <c r="AO27" s="116">
        <f>IF(AN27&lt;0, 0, 0.00035*(10*AN27/((1/COS(M$1))-0.8))^(3/(1+1/(DATOS!E$6))))</f>
        <v>0</v>
      </c>
      <c r="AP27" s="116">
        <f t="shared" si="41"/>
        <v>127192.3902129151</v>
      </c>
      <c r="AQ27" s="116">
        <f t="shared" si="42"/>
        <v>2891328.8045110954</v>
      </c>
      <c r="AR27" s="116">
        <f t="shared" si="15"/>
        <v>1.1689706596934468</v>
      </c>
      <c r="AS27" s="116">
        <f t="shared" si="16"/>
        <v>9.894871362843255E-2</v>
      </c>
      <c r="AT27" s="116">
        <f t="shared" si="17"/>
        <v>143046.63294160331</v>
      </c>
      <c r="AU27" s="116">
        <f>EDisponible!G40</f>
        <v>0.38550573308182412</v>
      </c>
      <c r="AV27" s="116">
        <f t="shared" si="43"/>
        <v>-0.41449426691817592</v>
      </c>
      <c r="AW27" s="116">
        <f>IF(AV27&lt;0, 0, 0.00035*(10*AV27/((1/COS(M$1))-0.8))^(3/(1+1/(DATOS!E$6))))</f>
        <v>0</v>
      </c>
      <c r="AX27" s="116">
        <f t="shared" si="18"/>
        <v>143046.63294160331</v>
      </c>
      <c r="AY27" s="116">
        <f t="shared" si="44"/>
        <v>2422958.1445631105</v>
      </c>
      <c r="AZ27" s="116">
        <f t="shared" si="19"/>
        <v>1.3949388880629774</v>
      </c>
      <c r="BA27" s="116">
        <f t="shared" si="20"/>
        <v>0.13533578772231947</v>
      </c>
      <c r="BB27" s="116">
        <f t="shared" si="21"/>
        <v>163956.47455632908</v>
      </c>
      <c r="BC27" s="116">
        <f>EDisponible!H40</f>
        <v>0.39360416852093333</v>
      </c>
      <c r="BD27" s="116">
        <f t="shared" si="45"/>
        <v>-0.40639583147906672</v>
      </c>
      <c r="BE27" s="116">
        <f>IF(BD27&lt;0, 0, 0.00035*(10*BD27/((1/COS(M$1))-0.8))^(3/(1+1/(DATOS!E$6))))</f>
        <v>0</v>
      </c>
      <c r="BF27" s="116">
        <f t="shared" si="22"/>
        <v>163956.47455632908</v>
      </c>
      <c r="BG27" s="116">
        <f t="shared" si="46"/>
        <v>2014970.5353957422</v>
      </c>
      <c r="BH27" s="116">
        <f t="shared" si="23"/>
        <v>1.6773836046868986</v>
      </c>
      <c r="BI27" s="116">
        <f t="shared" si="24"/>
        <v>0.18983588914401847</v>
      </c>
      <c r="BJ27" s="116">
        <f t="shared" si="25"/>
        <v>191256.86159292483</v>
      </c>
      <c r="BK27" s="116">
        <f>EDisponible!I40</f>
        <v>0.40223540929328871</v>
      </c>
      <c r="BL27" s="116">
        <f t="shared" si="47"/>
        <v>-0.39776459070671133</v>
      </c>
      <c r="BM27" s="116">
        <f>IF(BL27&lt;0, 0, 0.00035*(10*BL27/((1/COS(M$1))-0.8))^(3/(1+1/(DATOS!E$6))))</f>
        <v>0</v>
      </c>
      <c r="BN27" s="116">
        <f t="shared" si="26"/>
        <v>191256.86159292483</v>
      </c>
    </row>
    <row r="28" spans="1:66">
      <c r="A28" s="41">
        <f>EDisponible!A41</f>
        <v>125</v>
      </c>
      <c r="B28" s="44"/>
      <c r="C28" s="116">
        <f t="shared" si="0"/>
        <v>6898156.7613767134</v>
      </c>
      <c r="D28" s="116">
        <f t="shared" si="1"/>
        <v>0.48996835776829373</v>
      </c>
      <c r="E28" s="116">
        <f t="shared" si="2"/>
        <v>2.8203229472252542E-2</v>
      </c>
      <c r="F28" s="116">
        <f t="shared" si="3"/>
        <v>97275.149038338932</v>
      </c>
      <c r="G28" s="116">
        <f>EDisponible!B41</f>
        <v>0.36602636518856974</v>
      </c>
      <c r="H28" s="116">
        <f t="shared" si="27"/>
        <v>-0.43397363481143031</v>
      </c>
      <c r="I28" s="116">
        <f>IF(H28&lt;0, 0, 0.00035*(10*H28/((1/COS(M$1))-0.8))^(3/(1+1/(DATOS!E$6))))</f>
        <v>0</v>
      </c>
      <c r="J28" s="116">
        <f t="shared" si="28"/>
        <v>97275.149038338932</v>
      </c>
      <c r="K28" s="116">
        <f t="shared" si="29"/>
        <v>5959068.1558258161</v>
      </c>
      <c r="L28" s="11">
        <f t="shared" si="4"/>
        <v>0.56718239355858013</v>
      </c>
      <c r="M28" s="116">
        <f t="shared" si="5"/>
        <v>3.3329838880070344E-2</v>
      </c>
      <c r="N28" s="116">
        <f t="shared" si="6"/>
        <v>99307.390754516178</v>
      </c>
      <c r="O28" s="116">
        <f>EDisponible!C41</f>
        <v>0.37238061565060532</v>
      </c>
      <c r="P28" s="116">
        <f t="shared" si="30"/>
        <v>-0.42761938434939473</v>
      </c>
      <c r="Q28" s="116">
        <f>IF(P28&lt;0, 0, 0.00035*(10*P28/((1/COS(M$1))-0.8))^(3/(1+1/(DATOS!E$6))))</f>
        <v>0</v>
      </c>
      <c r="R28" s="116">
        <f t="shared" si="31"/>
        <v>99307.390754516178</v>
      </c>
      <c r="S28" s="116">
        <f t="shared" si="32"/>
        <v>5121065.123838516</v>
      </c>
      <c r="T28" s="116">
        <f t="shared" si="7"/>
        <v>0.6599952272168329</v>
      </c>
      <c r="U28" s="116">
        <f t="shared" si="8"/>
        <v>4.048323893678743E-2</v>
      </c>
      <c r="V28" s="116">
        <f t="shared" si="9"/>
        <v>103658.65150960178</v>
      </c>
      <c r="W28" s="116">
        <f>EDisponible!D41</f>
        <v>0.37907771892828102</v>
      </c>
      <c r="X28" s="116">
        <f t="shared" si="33"/>
        <v>-0.42092228107171903</v>
      </c>
      <c r="Y28" s="116">
        <f>IF(X28&lt;0, 0, 0.00035*(10*X28/((1/COS(M$1))-0.8))^(3/(1+1/(DATOS!E$6))))</f>
        <v>0</v>
      </c>
      <c r="Z28" s="116">
        <f t="shared" si="34"/>
        <v>103658.65150960178</v>
      </c>
      <c r="AA28" s="116">
        <f t="shared" si="35"/>
        <v>4376346.6852617944</v>
      </c>
      <c r="AB28" s="116">
        <f t="shared" si="10"/>
        <v>0.77230593987958129</v>
      </c>
      <c r="AC28" s="116">
        <f t="shared" si="11"/>
        <v>5.0586290829086153E-2</v>
      </c>
      <c r="AD28" s="116">
        <f t="shared" si="36"/>
        <v>110691.57309478015</v>
      </c>
      <c r="AE28" s="116">
        <f>EDisponible!E41</f>
        <v>0.38614965917974209</v>
      </c>
      <c r="AF28" s="116">
        <f t="shared" si="37"/>
        <v>-0.41385034082025796</v>
      </c>
      <c r="AG28" s="116">
        <f>IF(AF28&lt;0, 0, 0.00035*(10*AF28/((1/COS(M$1))-0.8))^(3/(1+1/(DATOS!E$6))))</f>
        <v>0</v>
      </c>
      <c r="AH28" s="116">
        <f t="shared" si="38"/>
        <v>110691.57309478015</v>
      </c>
      <c r="AI28" s="116">
        <f t="shared" si="39"/>
        <v>3717459.0878837625</v>
      </c>
      <c r="AJ28" s="116">
        <f t="shared" si="12"/>
        <v>0.90919051429939557</v>
      </c>
      <c r="AK28" s="116">
        <f t="shared" si="13"/>
        <v>6.5042270230268304E-2</v>
      </c>
      <c r="AL28" s="116">
        <f t="shared" si="14"/>
        <v>120895.9892820512</v>
      </c>
      <c r="AM28" s="116">
        <f>EDisponible!F41</f>
        <v>0.39363275999882735</v>
      </c>
      <c r="AN28" s="116">
        <f t="shared" si="40"/>
        <v>-0.40636724000117269</v>
      </c>
      <c r="AO28" s="116">
        <f>IF(AN28&lt;0, 0, 0.00035*(10*AN28/((1/COS(M$1))-0.8))^(3/(1+1/(DATOS!E$6))))</f>
        <v>0</v>
      </c>
      <c r="AP28" s="116">
        <f t="shared" si="41"/>
        <v>120895.9892820512</v>
      </c>
      <c r="AQ28" s="116">
        <f t="shared" si="42"/>
        <v>3137292.5396170747</v>
      </c>
      <c r="AR28" s="116">
        <f t="shared" si="15"/>
        <v>1.0773233599734804</v>
      </c>
      <c r="AS28" s="116">
        <f t="shared" si="16"/>
        <v>8.6019166032753322E-2</v>
      </c>
      <c r="AT28" s="116">
        <f t="shared" si="17"/>
        <v>134933.64392931975</v>
      </c>
      <c r="AU28" s="116">
        <f>EDisponible!G41</f>
        <v>0.40156847196023349</v>
      </c>
      <c r="AV28" s="116">
        <f t="shared" si="43"/>
        <v>-0.39843152803976656</v>
      </c>
      <c r="AW28" s="116">
        <f>IF(AV28&lt;0, 0, 0.00035*(10*AV28/((1/COS(M$1))-0.8))^(3/(1+1/(DATOS!E$6))))</f>
        <v>0</v>
      </c>
      <c r="AX28" s="116">
        <f t="shared" si="18"/>
        <v>134933.64392931975</v>
      </c>
      <c r="AY28" s="116">
        <f t="shared" si="44"/>
        <v>2629077.8478332362</v>
      </c>
      <c r="AZ28" s="116">
        <f t="shared" si="19"/>
        <v>1.28557567923884</v>
      </c>
      <c r="BA28" s="116">
        <f t="shared" si="20"/>
        <v>0.11692440224286134</v>
      </c>
      <c r="BB28" s="116">
        <f t="shared" si="21"/>
        <v>153701.67790392475</v>
      </c>
      <c r="BC28" s="116">
        <f>EDisponible!H41</f>
        <v>0.41000434220930554</v>
      </c>
      <c r="BD28" s="116">
        <f t="shared" si="45"/>
        <v>-0.38999565779069451</v>
      </c>
      <c r="BE28" s="116">
        <f>IF(BD28&lt;0, 0, 0.00035*(10*BD28/((1/COS(M$1))-0.8))^(3/(1+1/(DATOS!E$6))))</f>
        <v>0</v>
      </c>
      <c r="BF28" s="116">
        <f t="shared" si="22"/>
        <v>153701.67790392475</v>
      </c>
      <c r="BG28" s="116">
        <f t="shared" si="46"/>
        <v>2186382.9594137832</v>
      </c>
      <c r="BH28" s="116">
        <f t="shared" si="23"/>
        <v>1.5458767300794454</v>
      </c>
      <c r="BI28" s="116">
        <f t="shared" si="24"/>
        <v>0.16321387590503242</v>
      </c>
      <c r="BJ28" s="116">
        <f t="shared" si="25"/>
        <v>178424.01850931937</v>
      </c>
      <c r="BK28" s="116">
        <f>EDisponible!I41</f>
        <v>0.41899521801384243</v>
      </c>
      <c r="BL28" s="116">
        <f t="shared" si="47"/>
        <v>-0.38100478198615761</v>
      </c>
      <c r="BM28" s="116">
        <f>IF(BL28&lt;0, 0, 0.00035*(10*BL28/((1/COS(M$1))-0.8))^(3/(1+1/(DATOS!E$6))))</f>
        <v>0</v>
      </c>
      <c r="BN28" s="116">
        <f t="shared" si="26"/>
        <v>178424.01850931937</v>
      </c>
    </row>
    <row r="29" spans="1:66">
      <c r="A29" s="41">
        <f>EDisponible!A42</f>
        <v>130</v>
      </c>
      <c r="B29" s="44"/>
      <c r="C29" s="116">
        <f t="shared" si="0"/>
        <v>7461046.3531050542</v>
      </c>
      <c r="D29" s="116">
        <f t="shared" si="1"/>
        <v>0.45300328935678041</v>
      </c>
      <c r="E29" s="116">
        <f t="shared" si="2"/>
        <v>2.6014020578354481E-2</v>
      </c>
      <c r="F29" s="116">
        <f t="shared" si="3"/>
        <v>97045.906682865767</v>
      </c>
      <c r="G29" s="116">
        <f>EDisponible!B42</f>
        <v>0.38066741979611252</v>
      </c>
      <c r="H29" s="116">
        <f t="shared" si="27"/>
        <v>-0.41933258020388753</v>
      </c>
      <c r="I29" s="116">
        <f>IF(H29&lt;0, 0, 0.00035*(10*H29/((1/COS(M$1))-0.8))^(3/(1+1/(DATOS!E$6))))</f>
        <v>0</v>
      </c>
      <c r="J29" s="116">
        <f t="shared" si="28"/>
        <v>97045.906682865767</v>
      </c>
      <c r="K29" s="116">
        <f t="shared" si="29"/>
        <v>6445328.1173412036</v>
      </c>
      <c r="L29" s="116">
        <f t="shared" si="4"/>
        <v>0.5243920058788647</v>
      </c>
      <c r="M29" s="116">
        <f t="shared" si="5"/>
        <v>3.0396267785929548E-2</v>
      </c>
      <c r="N29" s="116">
        <f t="shared" si="6"/>
        <v>97956.959711442192</v>
      </c>
      <c r="O29" s="116">
        <f>EDisponible!C42</f>
        <v>0.38727584027662953</v>
      </c>
      <c r="P29" s="116">
        <f t="shared" si="30"/>
        <v>-0.41272415972337051</v>
      </c>
      <c r="Q29" s="116">
        <f>IF(P29&lt;0, 0, 0.00035*(10*P29/((1/COS(M$1))-0.8))^(3/(1+1/(DATOS!E$6))))</f>
        <v>0</v>
      </c>
      <c r="R29" s="116">
        <f t="shared" si="31"/>
        <v>97956.959711442192</v>
      </c>
      <c r="S29" s="116">
        <f t="shared" si="32"/>
        <v>5538944.0379437385</v>
      </c>
      <c r="T29" s="116">
        <f t="shared" si="7"/>
        <v>0.61020268788538556</v>
      </c>
      <c r="U29" s="116">
        <f t="shared" si="8"/>
        <v>3.6511024134523611E-2</v>
      </c>
      <c r="V29" s="116">
        <f t="shared" si="9"/>
        <v>101116.25972456975</v>
      </c>
      <c r="W29" s="116">
        <f>EDisponible!D42</f>
        <v>0.3942408276854123</v>
      </c>
      <c r="X29" s="116">
        <f t="shared" si="33"/>
        <v>-0.40575917231458775</v>
      </c>
      <c r="Y29" s="116">
        <f>IF(X29&lt;0, 0, 0.00035*(10*X29/((1/COS(M$1))-0.8))^(3/(1+1/(DATOS!E$6))))</f>
        <v>0</v>
      </c>
      <c r="Z29" s="116">
        <f t="shared" si="34"/>
        <v>101116.25972456975</v>
      </c>
      <c r="AA29" s="116">
        <f t="shared" si="35"/>
        <v>4733456.5747791566</v>
      </c>
      <c r="AB29" s="116">
        <f t="shared" si="10"/>
        <v>0.71404025506618096</v>
      </c>
      <c r="AC29" s="116">
        <f t="shared" si="11"/>
        <v>4.5147155234251363E-2</v>
      </c>
      <c r="AD29" s="116">
        <f t="shared" si="36"/>
        <v>106851.04938807116</v>
      </c>
      <c r="AE29" s="116">
        <f>EDisponible!E42</f>
        <v>0.40159564554693178</v>
      </c>
      <c r="AF29" s="116">
        <f t="shared" si="37"/>
        <v>-0.39840435445306827</v>
      </c>
      <c r="AG29" s="116">
        <f>IF(AF29&lt;0, 0, 0.00035*(10*AF29/((1/COS(M$1))-0.8))^(3/(1+1/(DATOS!E$6))))</f>
        <v>0</v>
      </c>
      <c r="AH29" s="116">
        <f t="shared" si="38"/>
        <v>106851.04938807116</v>
      </c>
      <c r="AI29" s="116">
        <f t="shared" si="39"/>
        <v>4020803.7494550771</v>
      </c>
      <c r="AJ29" s="116">
        <f t="shared" si="12"/>
        <v>0.84059773881231115</v>
      </c>
      <c r="AK29" s="116">
        <f t="shared" si="13"/>
        <v>5.7504187011821258E-2</v>
      </c>
      <c r="AL29" s="116">
        <f t="shared" si="14"/>
        <v>115606.52537324843</v>
      </c>
      <c r="AM29" s="116">
        <f>EDisponible!F42</f>
        <v>0.40937807039878049</v>
      </c>
      <c r="AN29" s="116">
        <f t="shared" si="40"/>
        <v>-0.39062192960121955</v>
      </c>
      <c r="AO29" s="116">
        <f>IF(AN29&lt;0, 0, 0.00035*(10*AN29/((1/COS(M$1))-0.8))^(3/(1+1/(DATOS!E$6))))</f>
        <v>0</v>
      </c>
      <c r="AP29" s="116">
        <f t="shared" si="41"/>
        <v>115606.52537324843</v>
      </c>
      <c r="AQ29" s="116">
        <f t="shared" si="42"/>
        <v>3393295.6108498275</v>
      </c>
      <c r="AR29" s="116">
        <f t="shared" si="15"/>
        <v>0.99604600589264092</v>
      </c>
      <c r="AS29" s="116">
        <f t="shared" si="16"/>
        <v>7.5435325458579311E-2</v>
      </c>
      <c r="AT29" s="116">
        <f t="shared" si="17"/>
        <v>127987.17939081271</v>
      </c>
      <c r="AU29" s="116">
        <f>EDisponible!G42</f>
        <v>0.4176312108386428</v>
      </c>
      <c r="AV29" s="116">
        <f t="shared" si="43"/>
        <v>-0.38236878916135725</v>
      </c>
      <c r="AW29" s="116">
        <f>IF(AV29&lt;0, 0, 0.00035*(10*AV29/((1/COS(M$1))-0.8))^(3/(1+1/(DATOS!E$6))))</f>
        <v>0</v>
      </c>
      <c r="AX29" s="116">
        <f t="shared" si="18"/>
        <v>127987.17939081271</v>
      </c>
      <c r="AY29" s="116">
        <f t="shared" si="44"/>
        <v>2843610.6002164283</v>
      </c>
      <c r="AZ29" s="116">
        <f t="shared" si="19"/>
        <v>1.1885869815447854</v>
      </c>
      <c r="BA29" s="116">
        <f t="shared" si="20"/>
        <v>0.10185325089574325</v>
      </c>
      <c r="BB29" s="116">
        <f t="shared" si="21"/>
        <v>144815.49195681946</v>
      </c>
      <c r="BC29" s="116">
        <f>EDisponible!H42</f>
        <v>0.42640451589767775</v>
      </c>
      <c r="BD29" s="116">
        <f t="shared" si="45"/>
        <v>-0.37359548410232229</v>
      </c>
      <c r="BE29" s="116">
        <f>IF(BD29&lt;0, 0, 0.00035*(10*BD29/((1/COS(M$1))-0.8))^(3/(1+1/(DATOS!E$6))))</f>
        <v>0</v>
      </c>
      <c r="BF29" s="116">
        <f t="shared" si="22"/>
        <v>144815.49195681946</v>
      </c>
      <c r="BG29" s="116">
        <f t="shared" si="46"/>
        <v>2364791.8089019475</v>
      </c>
      <c r="BH29" s="116">
        <f t="shared" si="23"/>
        <v>1.4292499353545172</v>
      </c>
      <c r="BI29" s="116">
        <f t="shared" si="24"/>
        <v>0.14142168698272728</v>
      </c>
      <c r="BJ29" s="116">
        <f t="shared" si="25"/>
        <v>167216.42348892431</v>
      </c>
      <c r="BK29" s="116">
        <f>EDisponible!I42</f>
        <v>0.43575502673439609</v>
      </c>
      <c r="BL29" s="116">
        <f t="shared" si="47"/>
        <v>-0.36424497326560396</v>
      </c>
      <c r="BM29" s="116">
        <f>IF(BL29&lt;0, 0, 0.00035*(10*BL29/((1/COS(M$1))-0.8))^(3/(1+1/(DATOS!E$6))))</f>
        <v>0</v>
      </c>
      <c r="BN29" s="116">
        <f t="shared" si="26"/>
        <v>167216.42348892431</v>
      </c>
    </row>
    <row r="30" spans="1:66">
      <c r="A30" s="41">
        <f>EDisponible!A43</f>
        <v>135</v>
      </c>
      <c r="B30" s="44"/>
      <c r="C30" s="116">
        <f t="shared" si="0"/>
        <v>8046010.0464697992</v>
      </c>
      <c r="D30" s="116">
        <f t="shared" si="1"/>
        <v>0.42006889383427098</v>
      </c>
      <c r="E30" s="116">
        <f t="shared" si="2"/>
        <v>2.4208107250823677E-2</v>
      </c>
      <c r="F30" s="116">
        <f t="shared" si="3"/>
        <v>97389.337073072849</v>
      </c>
      <c r="G30" s="116">
        <f>EDisponible!B43</f>
        <v>0.3953084744036553</v>
      </c>
      <c r="H30" s="116">
        <f t="shared" si="27"/>
        <v>-0.40469152559634475</v>
      </c>
      <c r="I30" s="116">
        <f>IF(H30&lt;0, 0, 0.00035*(10*H30/((1/COS(M$1))-0.8))^(3/(1+1/(DATOS!E$6))))</f>
        <v>0</v>
      </c>
      <c r="J30" s="116">
        <f t="shared" si="28"/>
        <v>97389.337073072849</v>
      </c>
      <c r="K30" s="116">
        <f t="shared" si="29"/>
        <v>6950657.0969552323</v>
      </c>
      <c r="L30" s="11">
        <f t="shared" si="4"/>
        <v>0.48626748418945476</v>
      </c>
      <c r="M30" s="116">
        <f t="shared" si="5"/>
        <v>2.7976318209196903E-2</v>
      </c>
      <c r="N30" s="116">
        <f t="shared" si="6"/>
        <v>97226.89735371618</v>
      </c>
      <c r="O30" s="116">
        <f>EDisponible!C43</f>
        <v>0.40217106490265375</v>
      </c>
      <c r="P30" s="116">
        <f t="shared" si="30"/>
        <v>-0.39782893509734629</v>
      </c>
      <c r="Q30" s="116">
        <f>IF(P30&lt;0, 0, 0.00035*(10*P30/((1/COS(M$1))-0.8))^(3/(1+1/(DATOS!E$6))))</f>
        <v>0</v>
      </c>
      <c r="R30" s="116">
        <f t="shared" si="31"/>
        <v>97226.89735371618</v>
      </c>
      <c r="S30" s="116">
        <f t="shared" si="32"/>
        <v>5973210.3604452442</v>
      </c>
      <c r="T30" s="116">
        <f t="shared" si="7"/>
        <v>0.56583952950688698</v>
      </c>
      <c r="U30" s="116">
        <f t="shared" si="8"/>
        <v>3.323428079987982E-2</v>
      </c>
      <c r="V30" s="116">
        <f t="shared" si="9"/>
        <v>99257.675197894307</v>
      </c>
      <c r="W30" s="116">
        <f>EDisponible!D43</f>
        <v>0.40940393644254353</v>
      </c>
      <c r="X30" s="116">
        <f t="shared" si="33"/>
        <v>-0.39059606355745652</v>
      </c>
      <c r="Y30" s="116">
        <f>IF(X30&lt;0, 0, 0.00035*(10*X30/((1/COS(M$1))-0.8))^(3/(1+1/(DATOS!E$6))))</f>
        <v>0</v>
      </c>
      <c r="Z30" s="116">
        <f t="shared" si="34"/>
        <v>99257.675197894307</v>
      </c>
      <c r="AA30" s="116">
        <f t="shared" si="35"/>
        <v>5104570.7736893566</v>
      </c>
      <c r="AB30" s="116">
        <f t="shared" si="10"/>
        <v>0.66212786340842023</v>
      </c>
      <c r="AC30" s="116">
        <f t="shared" si="11"/>
        <v>4.0660325545071076E-2</v>
      </c>
      <c r="AD30" s="116">
        <f t="shared" si="36"/>
        <v>103776.75471303229</v>
      </c>
      <c r="AE30" s="116">
        <f>EDisponible!E43</f>
        <v>0.41704163191412141</v>
      </c>
      <c r="AF30" s="116">
        <f t="shared" si="37"/>
        <v>-0.38295836808587863</v>
      </c>
      <c r="AG30" s="116">
        <f>IF(AF30&lt;0, 0, 0.00035*(10*AF30/((1/COS(M$1))-0.8))^(3/(1+1/(DATOS!E$6))))</f>
        <v>0</v>
      </c>
      <c r="AH30" s="116">
        <f t="shared" si="38"/>
        <v>103776.75471303229</v>
      </c>
      <c r="AI30" s="116">
        <f t="shared" si="39"/>
        <v>4336044.2801076211</v>
      </c>
      <c r="AJ30" s="116">
        <f t="shared" si="12"/>
        <v>0.77948432295901537</v>
      </c>
      <c r="AK30" s="116">
        <f t="shared" si="13"/>
        <v>5.1285901956350549E-2</v>
      </c>
      <c r="AL30" s="116">
        <f t="shared" si="14"/>
        <v>111188.97091399702</v>
      </c>
      <c r="AM30" s="116">
        <f>EDisponible!F43</f>
        <v>0.42512338079873357</v>
      </c>
      <c r="AN30" s="116">
        <f t="shared" si="40"/>
        <v>-0.37487661920126647</v>
      </c>
      <c r="AO30" s="116">
        <f>IF(AN30&lt;0, 0, 0.00035*(10*AN30/((1/COS(M$1))-0.8))^(3/(1+1/(DATOS!E$6))))</f>
        <v>0</v>
      </c>
      <c r="AP30" s="116">
        <f t="shared" si="41"/>
        <v>111188.97091399702</v>
      </c>
      <c r="AQ30" s="116">
        <f t="shared" si="42"/>
        <v>3659338.0182093554</v>
      </c>
      <c r="AR30" s="116">
        <f t="shared" si="15"/>
        <v>0.9236311385232171</v>
      </c>
      <c r="AS30" s="116">
        <f t="shared" si="16"/>
        <v>6.670454659017766E-2</v>
      </c>
      <c r="AT30" s="116">
        <f t="shared" si="17"/>
        <v>122047.24166242717</v>
      </c>
      <c r="AU30" s="116">
        <f>EDisponible!G43</f>
        <v>0.43369394971705216</v>
      </c>
      <c r="AV30" s="116">
        <f t="shared" si="43"/>
        <v>-0.36630605028294788</v>
      </c>
      <c r="AW30" s="116">
        <f>IF(AV30&lt;0, 0, 0.00035*(10*AV30/((1/COS(M$1))-0.8))^(3/(1+1/(DATOS!E$6))))</f>
        <v>0</v>
      </c>
      <c r="AX30" s="116">
        <f t="shared" si="18"/>
        <v>122047.24166242717</v>
      </c>
      <c r="AY30" s="116">
        <f t="shared" si="44"/>
        <v>3066556.4017126863</v>
      </c>
      <c r="AZ30" s="116">
        <f t="shared" si="19"/>
        <v>1.1021739362472909</v>
      </c>
      <c r="BA30" s="116">
        <f t="shared" si="20"/>
        <v>8.9420817812332992E-2</v>
      </c>
      <c r="BB30" s="116">
        <f t="shared" si="21"/>
        <v>137106.99065439677</v>
      </c>
      <c r="BC30" s="116">
        <f>EDisponible!H43</f>
        <v>0.44280468958605002</v>
      </c>
      <c r="BD30" s="116">
        <f t="shared" si="45"/>
        <v>-0.35719531041395003</v>
      </c>
      <c r="BE30" s="116">
        <f>IF(BD30&lt;0, 0, 0.00035*(10*BD30/((1/COS(M$1))-0.8))^(3/(1+1/(DATOS!E$6))))</f>
        <v>0</v>
      </c>
      <c r="BF30" s="116">
        <f t="shared" si="22"/>
        <v>137106.99065439677</v>
      </c>
      <c r="BG30" s="116">
        <f t="shared" si="46"/>
        <v>2550197.0838602362</v>
      </c>
      <c r="BH30" s="116">
        <f t="shared" si="23"/>
        <v>1.3253401320982903</v>
      </c>
      <c r="BI30" s="116">
        <f t="shared" si="24"/>
        <v>0.12344496282426394</v>
      </c>
      <c r="BJ30" s="116">
        <f t="shared" si="25"/>
        <v>157404.49210583657</v>
      </c>
      <c r="BK30" s="116">
        <f>EDisponible!I43</f>
        <v>0.4525148354549498</v>
      </c>
      <c r="BL30" s="116">
        <f t="shared" si="47"/>
        <v>-0.34748516454505024</v>
      </c>
      <c r="BM30" s="116">
        <f>IF(BL30&lt;0, 0, 0.00035*(10*BL30/((1/COS(M$1))-0.8))^(3/(1+1/(DATOS!E$6))))</f>
        <v>0</v>
      </c>
      <c r="BN30" s="116">
        <f t="shared" si="26"/>
        <v>157404.49210583657</v>
      </c>
    </row>
    <row r="31" spans="1:66">
      <c r="A31" s="41">
        <f>EDisponible!A44</f>
        <v>140</v>
      </c>
      <c r="B31" s="44"/>
      <c r="C31" s="116">
        <f t="shared" si="0"/>
        <v>8653047.8414709512</v>
      </c>
      <c r="D31" s="116">
        <f t="shared" si="1"/>
        <v>0.39059977500661164</v>
      </c>
      <c r="E31" s="116">
        <f t="shared" si="2"/>
        <v>2.2707705392872549E-2</v>
      </c>
      <c r="F31" s="116">
        <f t="shared" si="3"/>
        <v>98245.430567277042</v>
      </c>
      <c r="G31" s="116">
        <f>EDisponible!B44</f>
        <v>0.40994952901119808</v>
      </c>
      <c r="H31" s="116">
        <f t="shared" si="27"/>
        <v>-0.39005047098880197</v>
      </c>
      <c r="I31" s="116">
        <f>IF(H31&lt;0, 0, 0.00035*(10*H31/((1/COS(M$1))-0.8))^(3/(1+1/(DATOS!E$6))))</f>
        <v>0</v>
      </c>
      <c r="J31" s="116">
        <f t="shared" si="28"/>
        <v>98245.430567277042</v>
      </c>
      <c r="K31" s="116">
        <f t="shared" si="29"/>
        <v>7475055.094667905</v>
      </c>
      <c r="L31" s="11">
        <f t="shared" si="4"/>
        <v>0.45215433159963325</v>
      </c>
      <c r="M31" s="116">
        <f t="shared" si="5"/>
        <v>2.5965758352461038E-2</v>
      </c>
      <c r="N31" s="116">
        <f t="shared" si="6"/>
        <v>97047.737129739791</v>
      </c>
      <c r="O31" s="116">
        <f>EDisponible!C44</f>
        <v>0.41706628952867797</v>
      </c>
      <c r="P31" s="116">
        <f t="shared" si="30"/>
        <v>-0.38293371047132208</v>
      </c>
      <c r="Q31" s="116">
        <f>IF(P31&lt;0, 0, 0.00035*(10*P31/((1/COS(M$1))-0.8))^(3/(1+1/(DATOS!E$6))))</f>
        <v>0</v>
      </c>
      <c r="R31" s="116">
        <f t="shared" si="31"/>
        <v>97047.737129739791</v>
      </c>
      <c r="S31" s="116">
        <f t="shared" si="32"/>
        <v>6423864.091343035</v>
      </c>
      <c r="T31" s="116">
        <f t="shared" si="7"/>
        <v>0.52614415435015371</v>
      </c>
      <c r="U31" s="116">
        <f t="shared" si="8"/>
        <v>3.0511873410566902E-2</v>
      </c>
      <c r="V31" s="116">
        <f t="shared" si="9"/>
        <v>98002.063980872525</v>
      </c>
      <c r="W31" s="116">
        <f>EDisponible!D44</f>
        <v>0.42456704519967475</v>
      </c>
      <c r="X31" s="116">
        <f t="shared" si="33"/>
        <v>-0.37543295480032529</v>
      </c>
      <c r="Y31" s="116">
        <f>IF(X31&lt;0, 0, 0.00035*(10*X31/((1/COS(M$1))-0.8))^(3/(1+1/(DATOS!E$6))))</f>
        <v>0</v>
      </c>
      <c r="Z31" s="116">
        <f t="shared" si="34"/>
        <v>98002.063980872525</v>
      </c>
      <c r="AA31" s="116">
        <f t="shared" si="35"/>
        <v>5489689.2819923945</v>
      </c>
      <c r="AB31" s="116">
        <f t="shared" si="10"/>
        <v>0.61567756686828867</v>
      </c>
      <c r="AC31" s="116">
        <f t="shared" si="11"/>
        <v>3.6932545535184887E-2</v>
      </c>
      <c r="AD31" s="116">
        <f t="shared" si="36"/>
        <v>101374.09969060027</v>
      </c>
      <c r="AE31" s="116">
        <f>EDisponible!E44</f>
        <v>0.4324876182813111</v>
      </c>
      <c r="AF31" s="116">
        <f t="shared" si="37"/>
        <v>-0.36751238171868894</v>
      </c>
      <c r="AG31" s="116">
        <f>IF(AF31&lt;0, 0, 0.00035*(10*AF31/((1/COS(M$1))-0.8))^(3/(1+1/(DATOS!E$6))))</f>
        <v>0</v>
      </c>
      <c r="AH31" s="116">
        <f t="shared" si="38"/>
        <v>101374.09969060027</v>
      </c>
      <c r="AI31" s="116">
        <f t="shared" si="39"/>
        <v>4663180.6798413917</v>
      </c>
      <c r="AJ31" s="116">
        <f t="shared" si="12"/>
        <v>0.7248011115269416</v>
      </c>
      <c r="AK31" s="116">
        <f t="shared" si="13"/>
        <v>4.6119581785683983E-2</v>
      </c>
      <c r="AL31" s="116">
        <f t="shared" si="14"/>
        <v>107531.97137268326</v>
      </c>
      <c r="AM31" s="116">
        <f>EDisponible!F44</f>
        <v>0.44086869119868666</v>
      </c>
      <c r="AN31" s="116">
        <f t="shared" si="40"/>
        <v>-0.35913130880131339</v>
      </c>
      <c r="AO31" s="116">
        <f>IF(AN31&lt;0, 0, 0.00035*(10*AN31/((1/COS(M$1))-0.8))^(3/(1+1/(DATOS!E$6))))</f>
        <v>0</v>
      </c>
      <c r="AP31" s="116">
        <f t="shared" si="41"/>
        <v>107531.97137268326</v>
      </c>
      <c r="AQ31" s="116">
        <f t="shared" si="42"/>
        <v>3935419.7616956574</v>
      </c>
      <c r="AR31" s="116">
        <f t="shared" si="15"/>
        <v>0.85883558671355276</v>
      </c>
      <c r="AS31" s="116">
        <f t="shared" si="16"/>
        <v>5.9450778296977654E-2</v>
      </c>
      <c r="AT31" s="116">
        <f t="shared" si="17"/>
        <v>116981.88387905658</v>
      </c>
      <c r="AU31" s="116">
        <f>EDisponible!G44</f>
        <v>0.44975668859546147</v>
      </c>
      <c r="AV31" s="116">
        <f t="shared" si="43"/>
        <v>-0.35024331140453857</v>
      </c>
      <c r="AW31" s="116">
        <f>IF(AV31&lt;0, 0, 0.00035*(10*AV31/((1/COS(M$1))-0.8))^(3/(1+1/(DATOS!E$6))))</f>
        <v>0</v>
      </c>
      <c r="AX31" s="116">
        <f t="shared" si="18"/>
        <v>116981.88387905658</v>
      </c>
      <c r="AY31" s="116">
        <f t="shared" si="44"/>
        <v>3297915.2523220112</v>
      </c>
      <c r="AZ31" s="116">
        <f t="shared" si="19"/>
        <v>1.0248530606176978</v>
      </c>
      <c r="BA31" s="116">
        <f t="shared" si="20"/>
        <v>7.9091614625872914E-2</v>
      </c>
      <c r="BB31" s="116">
        <f t="shared" si="21"/>
        <v>130418.72110272048</v>
      </c>
      <c r="BC31" s="116">
        <f>EDisponible!H44</f>
        <v>0.45920486327442223</v>
      </c>
      <c r="BD31" s="116">
        <f t="shared" si="45"/>
        <v>-0.34079513672557782</v>
      </c>
      <c r="BE31" s="116">
        <f>IF(BD31&lt;0, 0, 0.00035*(10*BD31/((1/COS(M$1))-0.8))^(3/(1+1/(DATOS!E$6))))</f>
        <v>0</v>
      </c>
      <c r="BF31" s="116">
        <f t="shared" si="22"/>
        <v>130418.72110272048</v>
      </c>
      <c r="BG31" s="116">
        <f t="shared" si="46"/>
        <v>2742598.7842886494</v>
      </c>
      <c r="BH31" s="116">
        <f t="shared" si="23"/>
        <v>1.2323634646679253</v>
      </c>
      <c r="BI31" s="116">
        <f t="shared" si="24"/>
        <v>0.10850941197802692</v>
      </c>
      <c r="BJ31" s="116">
        <f t="shared" si="25"/>
        <v>148798.89068740644</v>
      </c>
      <c r="BK31" s="116">
        <f>EDisponible!I44</f>
        <v>0.46927464417550352</v>
      </c>
      <c r="BL31" s="116">
        <f t="shared" si="47"/>
        <v>-0.33072535582449653</v>
      </c>
      <c r="BM31" s="116">
        <f>IF(BL31&lt;0, 0, 0.00035*(10*BL31/((1/COS(M$1))-0.8))^(3/(1+1/(DATOS!E$6))))</f>
        <v>0</v>
      </c>
      <c r="BN31" s="116">
        <f t="shared" si="26"/>
        <v>148798.89068740644</v>
      </c>
    </row>
    <row r="32" spans="1:66">
      <c r="A32" s="41">
        <f>EDisponible!A45</f>
        <v>145</v>
      </c>
      <c r="B32" s="44"/>
      <c r="C32" s="116">
        <f t="shared" si="0"/>
        <v>9282159.7381085064</v>
      </c>
      <c r="D32" s="116">
        <f t="shared" si="1"/>
        <v>0.36412630630818499</v>
      </c>
      <c r="E32" s="116">
        <f t="shared" si="2"/>
        <v>2.1452839654884863E-2</v>
      </c>
      <c r="F32" s="116">
        <f t="shared" si="3"/>
        <v>99564.34225633493</v>
      </c>
      <c r="G32" s="116">
        <f>EDisponible!B45</f>
        <v>0.42459058361874086</v>
      </c>
      <c r="H32" s="116">
        <f t="shared" si="27"/>
        <v>-0.37540941638125919</v>
      </c>
      <c r="I32" s="116">
        <f>IF(H32&lt;0, 0, 0.00035*(10*H32/((1/COS(M$1))-0.8))^(3/(1+1/(DATOS!E$6))))</f>
        <v>0</v>
      </c>
      <c r="J32" s="116">
        <f t="shared" si="28"/>
        <v>99564.34225633493</v>
      </c>
      <c r="K32" s="116">
        <f t="shared" si="29"/>
        <v>8018522.110479218</v>
      </c>
      <c r="L32" s="11">
        <f t="shared" si="4"/>
        <v>0.42150891316779138</v>
      </c>
      <c r="M32" s="116">
        <f t="shared" si="5"/>
        <v>2.4284220393132924E-2</v>
      </c>
      <c r="N32" s="116">
        <f t="shared" si="6"/>
        <v>97361.779079043336</v>
      </c>
      <c r="O32" s="116">
        <f>EDisponible!C45</f>
        <v>0.43196151415470219</v>
      </c>
      <c r="P32" s="116">
        <f t="shared" si="30"/>
        <v>-0.36803848584529786</v>
      </c>
      <c r="Q32" s="116">
        <f>IF(P32&lt;0, 0, 0.00035*(10*P32/((1/COS(M$1))-0.8))^(3/(1+1/(DATOS!E$6))))</f>
        <v>0</v>
      </c>
      <c r="R32" s="116">
        <f t="shared" si="31"/>
        <v>97361.779079043336</v>
      </c>
      <c r="S32" s="116">
        <f t="shared" si="32"/>
        <v>6890905.230637108</v>
      </c>
      <c r="T32" s="116">
        <f t="shared" si="7"/>
        <v>0.49048396790787219</v>
      </c>
      <c r="U32" s="116">
        <f t="shared" si="8"/>
        <v>2.8234979564035454E-2</v>
      </c>
      <c r="V32" s="116">
        <f t="shared" si="9"/>
        <v>97282.284182371877</v>
      </c>
      <c r="W32" s="116">
        <f>EDisponible!D45</f>
        <v>0.43973015395680598</v>
      </c>
      <c r="X32" s="116">
        <f t="shared" si="33"/>
        <v>-0.36026984604319406</v>
      </c>
      <c r="Y32" s="116">
        <f>IF(X32&lt;0, 0, 0.00035*(10*X32/((1/COS(M$1))-0.8))^(3/(1+1/(DATOS!E$6))))</f>
        <v>0</v>
      </c>
      <c r="Z32" s="116">
        <f t="shared" si="34"/>
        <v>97282.284182371877</v>
      </c>
      <c r="AA32" s="116">
        <f t="shared" si="35"/>
        <v>5888812.0996882701</v>
      </c>
      <c r="AB32" s="116">
        <f t="shared" si="10"/>
        <v>0.57394912297828571</v>
      </c>
      <c r="AC32" s="116">
        <f t="shared" si="11"/>
        <v>3.3814805185576523E-2</v>
      </c>
      <c r="AD32" s="116">
        <f t="shared" si="36"/>
        <v>99564.51696271234</v>
      </c>
      <c r="AE32" s="116">
        <f>EDisponible!E45</f>
        <v>0.44793360464850079</v>
      </c>
      <c r="AF32" s="116">
        <f t="shared" si="37"/>
        <v>-0.35206639535149925</v>
      </c>
      <c r="AG32" s="116">
        <f>IF(AF32&lt;0, 0, 0.00035*(10*AF32/((1/COS(M$1))-0.8))^(3/(1+1/(DATOS!E$6))))</f>
        <v>0</v>
      </c>
      <c r="AH32" s="116">
        <f t="shared" si="38"/>
        <v>99564.51696271234</v>
      </c>
      <c r="AI32" s="116">
        <f t="shared" si="39"/>
        <v>5002212.9486563904</v>
      </c>
      <c r="AJ32" s="116">
        <f t="shared" si="12"/>
        <v>0.67567666044842123</v>
      </c>
      <c r="AK32" s="116">
        <f t="shared" si="13"/>
        <v>4.1798713919992944E-2</v>
      </c>
      <c r="AL32" s="116">
        <f t="shared" si="14"/>
        <v>104543.03400388641</v>
      </c>
      <c r="AM32" s="116">
        <f>EDisponible!F45</f>
        <v>0.45661400159863974</v>
      </c>
      <c r="AN32" s="116">
        <f t="shared" si="40"/>
        <v>-0.3433859984013603</v>
      </c>
      <c r="AO32" s="116">
        <f>IF(AN32&lt;0, 0, 0.00035*(10*AN32/((1/COS(M$1))-0.8))^(3/(1+1/(DATOS!E$6))))</f>
        <v>0</v>
      </c>
      <c r="AP32" s="116">
        <f t="shared" si="41"/>
        <v>104543.03400388641</v>
      </c>
      <c r="AQ32" s="116">
        <f t="shared" si="42"/>
        <v>4221540.8413087353</v>
      </c>
      <c r="AR32" s="116">
        <f t="shared" si="15"/>
        <v>0.80062675384473869</v>
      </c>
      <c r="AS32" s="116">
        <f t="shared" si="16"/>
        <v>5.3384066732871709E-2</v>
      </c>
      <c r="AT32" s="116">
        <f t="shared" si="17"/>
        <v>112681.50899398445</v>
      </c>
      <c r="AU32" s="116">
        <f>EDisponible!G45</f>
        <v>0.46581942747387084</v>
      </c>
      <c r="AV32" s="116">
        <f t="shared" si="43"/>
        <v>-0.3341805725261292</v>
      </c>
      <c r="AW32" s="116">
        <f>IF(AV32&lt;0, 0, 0.00035*(10*AV32/((1/COS(M$1))-0.8))^(3/(1+1/(DATOS!E$6))))</f>
        <v>0</v>
      </c>
      <c r="AX32" s="116">
        <f t="shared" si="18"/>
        <v>112681.50899398445</v>
      </c>
      <c r="AY32" s="116">
        <f t="shared" si="44"/>
        <v>3537687.1520444024</v>
      </c>
      <c r="AZ32" s="116">
        <f t="shared" si="19"/>
        <v>0.9553921516340963</v>
      </c>
      <c r="BA32" s="116">
        <f t="shared" si="20"/>
        <v>7.0452753569607673E-2</v>
      </c>
      <c r="BB32" s="116">
        <f t="shared" si="21"/>
        <v>124619.90056467574</v>
      </c>
      <c r="BC32" s="116">
        <f>EDisponible!H45</f>
        <v>0.47560503696279444</v>
      </c>
      <c r="BD32" s="116">
        <f t="shared" si="45"/>
        <v>-0.32439496303720561</v>
      </c>
      <c r="BE32" s="116">
        <f>IF(BD32&lt;0, 0, 0.00035*(10*BD32/((1/COS(M$1))-0.8))^(3/(1+1/(DATOS!E$6))))</f>
        <v>0</v>
      </c>
      <c r="BF32" s="116">
        <f t="shared" si="22"/>
        <v>124619.90056467574</v>
      </c>
      <c r="BG32" s="116">
        <f t="shared" si="46"/>
        <v>2941996.9101871867</v>
      </c>
      <c r="BH32" s="116">
        <f t="shared" si="23"/>
        <v>1.1488382357903133</v>
      </c>
      <c r="BI32" s="116">
        <f t="shared" si="24"/>
        <v>9.601801779879747E-2</v>
      </c>
      <c r="BJ32" s="116">
        <f t="shared" si="25"/>
        <v>141242.35584318024</v>
      </c>
      <c r="BK32" s="116">
        <f>EDisponible!I45</f>
        <v>0.48603445289605718</v>
      </c>
      <c r="BL32" s="116">
        <f t="shared" si="47"/>
        <v>-0.31396554710394287</v>
      </c>
      <c r="BM32" s="116">
        <f>IF(BL32&lt;0, 0, 0.00035*(10*BL32/((1/COS(M$1))-0.8))^(3/(1+1/(DATOS!E$6))))</f>
        <v>0</v>
      </c>
      <c r="BN32" s="116">
        <f t="shared" si="26"/>
        <v>141242.35584318024</v>
      </c>
    </row>
    <row r="33" spans="1:66">
      <c r="A33" s="41">
        <f>EDisponible!A46</f>
        <v>150</v>
      </c>
      <c r="B33" s="44"/>
      <c r="C33" s="116">
        <f t="shared" si="0"/>
        <v>9933345.7363824677</v>
      </c>
      <c r="D33" s="116">
        <f t="shared" si="1"/>
        <v>0.34025580400575955</v>
      </c>
      <c r="E33" s="116">
        <f t="shared" si="2"/>
        <v>2.0396832331476954E-2</v>
      </c>
      <c r="F33" s="116">
        <f t="shared" si="3"/>
        <v>101304.39373779233</v>
      </c>
      <c r="G33" s="116">
        <f>EDisponible!B46</f>
        <v>0.43923163822628364</v>
      </c>
      <c r="H33" s="116">
        <f t="shared" si="27"/>
        <v>-0.36076836177371641</v>
      </c>
      <c r="I33" s="116">
        <f>IF(H33&lt;0, 0, 0.00035*(10*H33/((1/COS(M$1))-0.8))^(3/(1+1/(DATOS!E$6))))</f>
        <v>0</v>
      </c>
      <c r="J33" s="116">
        <f t="shared" si="28"/>
        <v>101304.39373779233</v>
      </c>
      <c r="K33" s="116">
        <f t="shared" si="29"/>
        <v>8581058.1443891749</v>
      </c>
      <c r="L33" s="11">
        <f t="shared" si="4"/>
        <v>0.3938766621934584</v>
      </c>
      <c r="M33" s="116">
        <f t="shared" si="5"/>
        <v>2.2869155541265625E-2</v>
      </c>
      <c r="N33" s="116">
        <f t="shared" si="6"/>
        <v>98120.776706340112</v>
      </c>
      <c r="O33" s="116">
        <f>EDisponible!C46</f>
        <v>0.4468567387807264</v>
      </c>
      <c r="P33" s="116">
        <f t="shared" si="30"/>
        <v>-0.35314326121927364</v>
      </c>
      <c r="Q33" s="116">
        <f>IF(P33&lt;0, 0, 0.00035*(10*P33/((1/COS(M$1))-0.8))^(3/(1+1/(DATOS!E$6))))</f>
        <v>0</v>
      </c>
      <c r="R33" s="116">
        <f t="shared" si="31"/>
        <v>98120.776706340112</v>
      </c>
      <c r="S33" s="116">
        <f t="shared" si="32"/>
        <v>7374333.7783274632</v>
      </c>
      <c r="T33" s="116">
        <f t="shared" si="7"/>
        <v>0.4583300189005784</v>
      </c>
      <c r="U33" s="116">
        <f t="shared" si="8"/>
        <v>2.6318904797012679E-2</v>
      </c>
      <c r="V33" s="116">
        <f t="shared" si="9"/>
        <v>97042.194326597644</v>
      </c>
      <c r="W33" s="116">
        <f>EDisponible!D46</f>
        <v>0.45489326271393726</v>
      </c>
      <c r="X33" s="116">
        <f t="shared" si="33"/>
        <v>-0.34510673728606278</v>
      </c>
      <c r="Y33" s="116">
        <f>IF(X33&lt;0, 0, 0.00035*(10*X33/((1/COS(M$1))-0.8))^(3/(1+1/(DATOS!E$6))))</f>
        <v>0</v>
      </c>
      <c r="Z33" s="116">
        <f t="shared" si="34"/>
        <v>97042.194326597644</v>
      </c>
      <c r="AA33" s="116">
        <f t="shared" si="35"/>
        <v>6301939.2267769827</v>
      </c>
      <c r="AB33" s="116">
        <f t="shared" si="10"/>
        <v>0.53632356936082037</v>
      </c>
      <c r="AC33" s="116">
        <f t="shared" si="11"/>
        <v>3.1191132754332669E-2</v>
      </c>
      <c r="AD33" s="116">
        <f t="shared" si="36"/>
        <v>98282.311516068716</v>
      </c>
      <c r="AE33" s="116">
        <f>EDisponible!E46</f>
        <v>0.46337959101569048</v>
      </c>
      <c r="AF33" s="116">
        <f t="shared" si="37"/>
        <v>-0.33662040898430956</v>
      </c>
      <c r="AG33" s="116">
        <f>IF(AF33&lt;0, 0, 0.00035*(10*AF33/((1/COS(M$1))-0.8))^(3/(1+1/(DATOS!E$6))))</f>
        <v>0</v>
      </c>
      <c r="AH33" s="116">
        <f t="shared" si="38"/>
        <v>98282.311516068716</v>
      </c>
      <c r="AI33" s="116">
        <f t="shared" si="39"/>
        <v>5353141.0865526181</v>
      </c>
      <c r="AJ33" s="116">
        <f t="shared" si="12"/>
        <v>0.63138230159680253</v>
      </c>
      <c r="AK33" s="116">
        <f t="shared" si="13"/>
        <v>3.8162573437773135E-2</v>
      </c>
      <c r="AL33" s="116">
        <f t="shared" si="14"/>
        <v>102144.81991916249</v>
      </c>
      <c r="AM33" s="116">
        <f>EDisponible!F46</f>
        <v>0.47235931199859288</v>
      </c>
      <c r="AN33" s="116">
        <f t="shared" si="40"/>
        <v>-0.32764068800140717</v>
      </c>
      <c r="AO33" s="116">
        <f>IF(AN33&lt;0, 0, 0.00035*(10*AN33/((1/COS(M$1))-0.8))^(3/(1+1/(DATOS!E$6))))</f>
        <v>0</v>
      </c>
      <c r="AP33" s="116">
        <f t="shared" si="41"/>
        <v>102144.81991916249</v>
      </c>
      <c r="AQ33" s="116">
        <f t="shared" si="42"/>
        <v>4517701.2570485873</v>
      </c>
      <c r="AR33" s="116">
        <f t="shared" si="15"/>
        <v>0.74814122220380586</v>
      </c>
      <c r="AS33" s="116">
        <f t="shared" si="16"/>
        <v>4.8278746182027092E-2</v>
      </c>
      <c r="AT33" s="116">
        <f t="shared" si="17"/>
        <v>109054.47615763675</v>
      </c>
      <c r="AU33" s="116">
        <f>EDisponible!G46</f>
        <v>0.48188216635228015</v>
      </c>
      <c r="AV33" s="116">
        <f t="shared" si="43"/>
        <v>-0.31811783364771989</v>
      </c>
      <c r="AW33" s="116">
        <f>IF(AV33&lt;0, 0, 0.00035*(10*AV33/((1/COS(M$1))-0.8))^(3/(1+1/(DATOS!E$6))))</f>
        <v>0</v>
      </c>
      <c r="AX33" s="116">
        <f t="shared" si="18"/>
        <v>109054.47615763675</v>
      </c>
      <c r="AY33" s="116">
        <f t="shared" si="44"/>
        <v>3785872.1008798601</v>
      </c>
      <c r="AZ33" s="116">
        <f t="shared" si="19"/>
        <v>0.89276088836030554</v>
      </c>
      <c r="BA33" s="116">
        <f t="shared" si="20"/>
        <v>6.3182891730883192E-2</v>
      </c>
      <c r="BB33" s="116">
        <f t="shared" si="21"/>
        <v>119601.17352843174</v>
      </c>
      <c r="BC33" s="116">
        <f>EDisponible!H46</f>
        <v>0.49200521065116665</v>
      </c>
      <c r="BD33" s="116">
        <f t="shared" si="45"/>
        <v>-0.3079947893488334</v>
      </c>
      <c r="BE33" s="116">
        <f>IF(BD33&lt;0, 0, 0.00035*(10*BD33/((1/COS(M$1))-0.8))^(3/(1+1/(DATOS!E$6))))</f>
        <v>0</v>
      </c>
      <c r="BF33" s="116">
        <f t="shared" si="22"/>
        <v>119601.17352843174</v>
      </c>
      <c r="BG33" s="116">
        <f t="shared" si="46"/>
        <v>3148391.4615558474</v>
      </c>
      <c r="BH33" s="116">
        <f t="shared" si="23"/>
        <v>1.073525506999615</v>
      </c>
      <c r="BI33" s="116">
        <f t="shared" si="24"/>
        <v>8.5506133273211091E-2</v>
      </c>
      <c r="BJ33" s="116">
        <f t="shared" si="25"/>
        <v>134603.38995401707</v>
      </c>
      <c r="BK33" s="116">
        <f>EDisponible!I46</f>
        <v>0.50279426161661089</v>
      </c>
      <c r="BL33" s="116">
        <f t="shared" si="47"/>
        <v>-0.29720573838338915</v>
      </c>
      <c r="BM33" s="116">
        <f>IF(BL33&lt;0, 0, 0.00035*(10*BL33/((1/COS(M$1))-0.8))^(3/(1+1/(DATOS!E$6))))</f>
        <v>0</v>
      </c>
      <c r="BN33" s="116">
        <f t="shared" si="26"/>
        <v>134603.38995401707</v>
      </c>
    </row>
    <row r="34" spans="1:66">
      <c r="A34" s="41">
        <f>EDisponible!A47</f>
        <v>155</v>
      </c>
      <c r="B34" s="44"/>
      <c r="C34" s="116">
        <f t="shared" si="0"/>
        <v>10606605.836292835</v>
      </c>
      <c r="D34" s="116">
        <f t="shared" si="1"/>
        <v>0.31865788096273007</v>
      </c>
      <c r="E34" s="116">
        <f t="shared" si="2"/>
        <v>1.9503038050049024E-2</v>
      </c>
      <c r="F34" s="116">
        <f t="shared" si="3"/>
        <v>103430.5186035456</v>
      </c>
      <c r="G34" s="116">
        <f>EDisponible!B47</f>
        <v>0.45387269283382642</v>
      </c>
      <c r="H34" s="116">
        <f t="shared" si="27"/>
        <v>-0.34612730716617363</v>
      </c>
      <c r="I34" s="116">
        <f>IF(H34&lt;0, 0, 0.00035*(10*H34/((1/COS(M$1))-0.8))^(3/(1+1/(DATOS!E$6))))</f>
        <v>0</v>
      </c>
      <c r="J34" s="116">
        <f t="shared" si="28"/>
        <v>103430.5186035456</v>
      </c>
      <c r="K34" s="116">
        <f t="shared" si="29"/>
        <v>9162663.1963977758</v>
      </c>
      <c r="L34" s="11">
        <f t="shared" si="4"/>
        <v>0.3688751258835718</v>
      </c>
      <c r="M34" s="116">
        <f t="shared" si="5"/>
        <v>2.1671458475712134E-2</v>
      </c>
      <c r="N34" s="116">
        <f t="shared" si="6"/>
        <v>99284.137493835107</v>
      </c>
      <c r="O34" s="116">
        <f>EDisponible!C47</f>
        <v>0.46175196340675062</v>
      </c>
      <c r="P34" s="116">
        <f t="shared" si="30"/>
        <v>-0.33824803659324942</v>
      </c>
      <c r="Q34" s="116">
        <f>IF(P34&lt;0, 0, 0.00035*(10*P34/((1/COS(M$1))-0.8))^(3/(1+1/(DATOS!E$6))))</f>
        <v>0</v>
      </c>
      <c r="R34" s="116">
        <f t="shared" si="31"/>
        <v>99284.137493835107</v>
      </c>
      <c r="S34" s="116">
        <f t="shared" si="32"/>
        <v>7874149.7344141025</v>
      </c>
      <c r="T34" s="116">
        <f t="shared" si="7"/>
        <v>0.42923727056245636</v>
      </c>
      <c r="U34" s="116">
        <f t="shared" si="8"/>
        <v>2.4697157834097185E-2</v>
      </c>
      <c r="V34" s="116">
        <f t="shared" si="9"/>
        <v>97234.55940006976</v>
      </c>
      <c r="W34" s="116">
        <f>EDisponible!D47</f>
        <v>0.47005637147106849</v>
      </c>
      <c r="X34" s="116">
        <f t="shared" si="33"/>
        <v>-0.32994362852893155</v>
      </c>
      <c r="Y34" s="116">
        <f>IF(X34&lt;0, 0, 0.00035*(10*X34/((1/COS(M$1))-0.8))^(3/(1+1/(DATOS!E$6))))</f>
        <v>0</v>
      </c>
      <c r="Z34" s="116">
        <f t="shared" si="34"/>
        <v>97234.55940006976</v>
      </c>
      <c r="AA34" s="116">
        <f t="shared" si="35"/>
        <v>6729070.6632585339</v>
      </c>
      <c r="AB34" s="116">
        <f t="shared" si="10"/>
        <v>0.50228013779889524</v>
      </c>
      <c r="AC34" s="116">
        <f t="shared" si="11"/>
        <v>2.8970482041591319E-2</v>
      </c>
      <c r="AD34" s="116">
        <f t="shared" si="36"/>
        <v>97472.21040326517</v>
      </c>
      <c r="AE34" s="116">
        <f>EDisponible!E47</f>
        <v>0.47882557738288017</v>
      </c>
      <c r="AF34" s="116">
        <f t="shared" si="37"/>
        <v>-0.32117442261711987</v>
      </c>
      <c r="AG34" s="116">
        <f>IF(AF34&lt;0, 0, 0.00035*(10*AF34/((1/COS(M$1))-0.8))^(3/(1+1/(DATOS!E$6))))</f>
        <v>0</v>
      </c>
      <c r="AH34" s="116">
        <f t="shared" si="38"/>
        <v>97472.21040326517</v>
      </c>
      <c r="AI34" s="116">
        <f t="shared" si="39"/>
        <v>5715965.0935300728</v>
      </c>
      <c r="AJ34" s="116">
        <f t="shared" si="12"/>
        <v>0.59130496507504915</v>
      </c>
      <c r="AK34" s="116">
        <f t="shared" si="13"/>
        <v>3.5084979658415158E-2</v>
      </c>
      <c r="AL34" s="116">
        <f t="shared" si="14"/>
        <v>100272.25951735686</v>
      </c>
      <c r="AM34" s="116">
        <f>EDisponible!F47</f>
        <v>0.48810462239854596</v>
      </c>
      <c r="AN34" s="116">
        <f t="shared" si="40"/>
        <v>-0.31189537760145408</v>
      </c>
      <c r="AO34" s="116">
        <f>IF(AN34&lt;0, 0, 0.00035*(10*AN34/((1/COS(M$1))-0.8))^(3/(1+1/(DATOS!E$6))))</f>
        <v>0</v>
      </c>
      <c r="AP34" s="116">
        <f t="shared" si="41"/>
        <v>100272.25951735686</v>
      </c>
      <c r="AQ34" s="116">
        <f t="shared" si="42"/>
        <v>4823901.0089152129</v>
      </c>
      <c r="AR34" s="116">
        <f t="shared" si="15"/>
        <v>0.7006525494104322</v>
      </c>
      <c r="AS34" s="116">
        <f t="shared" si="16"/>
        <v>4.3957652746353305E-2</v>
      </c>
      <c r="AT34" s="116">
        <f t="shared" si="17"/>
        <v>106023.68271633914</v>
      </c>
      <c r="AU34" s="116">
        <f>EDisponible!G47</f>
        <v>0.49794490523068952</v>
      </c>
      <c r="AV34" s="116">
        <f t="shared" si="43"/>
        <v>-0.30205509476931053</v>
      </c>
      <c r="AW34" s="116">
        <f>IF(AV34&lt;0, 0, 0.00035*(10*AV34/((1/COS(M$1))-0.8))^(3/(1+1/(DATOS!E$6))))</f>
        <v>0</v>
      </c>
      <c r="AX34" s="116">
        <f t="shared" si="18"/>
        <v>106023.68271633914</v>
      </c>
      <c r="AY34" s="116">
        <f t="shared" si="44"/>
        <v>4042470.0988283837</v>
      </c>
      <c r="AZ34" s="116">
        <f t="shared" si="19"/>
        <v>0.8360924032510666</v>
      </c>
      <c r="BA34" s="116">
        <f t="shared" si="20"/>
        <v>5.70297516965379E-2</v>
      </c>
      <c r="BB34" s="116">
        <f t="shared" si="21"/>
        <v>115270.53298843087</v>
      </c>
      <c r="BC34" s="116">
        <f>EDisponible!H47</f>
        <v>0.50840538433953886</v>
      </c>
      <c r="BD34" s="116">
        <f t="shared" si="45"/>
        <v>-0.29159461566046119</v>
      </c>
      <c r="BE34" s="116">
        <f>IF(BD34&lt;0, 0, 0.00035*(10*BD34/((1/COS(M$1))-0.8))^(3/(1+1/(DATOS!E$6))))</f>
        <v>0</v>
      </c>
      <c r="BF34" s="116">
        <f t="shared" si="22"/>
        <v>115270.53298843087</v>
      </c>
      <c r="BG34" s="116">
        <f t="shared" si="46"/>
        <v>3361782.4383946327</v>
      </c>
      <c r="BH34" s="116">
        <f t="shared" si="23"/>
        <v>1.0053828889694625</v>
      </c>
      <c r="BI34" s="116">
        <f t="shared" si="24"/>
        <v>7.6608976911000368E-2</v>
      </c>
      <c r="BJ34" s="116">
        <f t="shared" si="25"/>
        <v>128771.35660139046</v>
      </c>
      <c r="BK34" s="116">
        <f>EDisponible!I47</f>
        <v>0.51955407033716461</v>
      </c>
      <c r="BL34" s="116">
        <f t="shared" si="47"/>
        <v>-0.28044592966283544</v>
      </c>
      <c r="BM34" s="116">
        <f>IF(BL34&lt;0, 0, 0.00035*(10*BL34/((1/COS(M$1))-0.8))^(3/(1+1/(DATOS!E$6))))</f>
        <v>0</v>
      </c>
      <c r="BN34" s="116">
        <f t="shared" si="26"/>
        <v>128771.35660139046</v>
      </c>
    </row>
    <row r="35" spans="1:66">
      <c r="A35" s="41">
        <f>EDisponible!A48</f>
        <v>160</v>
      </c>
      <c r="B35" s="44"/>
      <c r="C35" s="116">
        <f t="shared" si="0"/>
        <v>11301940.037839608</v>
      </c>
      <c r="D35" s="116">
        <f t="shared" si="1"/>
        <v>0.29905295273943705</v>
      </c>
      <c r="E35" s="116">
        <f t="shared" si="2"/>
        <v>1.8742453446652575E-2</v>
      </c>
      <c r="F35" s="116">
        <f t="shared" si="3"/>
        <v>105913.04250803385</v>
      </c>
      <c r="G35" s="116">
        <f>EDisponible!B48</f>
        <v>0.46851374744136925</v>
      </c>
      <c r="H35" s="116">
        <f t="shared" si="27"/>
        <v>-0.33148625255863079</v>
      </c>
      <c r="I35" s="116">
        <f>IF(H35&lt;0, 0, 0.00035*(10*H35/((1/COS(M$1))-0.8))^(3/(1+1/(DATOS!E$6))))</f>
        <v>0</v>
      </c>
      <c r="J35" s="116">
        <f t="shared" si="28"/>
        <v>105913.04250803385</v>
      </c>
      <c r="K35" s="116">
        <f t="shared" si="29"/>
        <v>9763337.2665050179</v>
      </c>
      <c r="L35" s="11">
        <f t="shared" si="4"/>
        <v>0.34618066013096926</v>
      </c>
      <c r="M35" s="116">
        <f t="shared" si="5"/>
        <v>2.0652264275747297E-2</v>
      </c>
      <c r="N35" s="116">
        <f t="shared" si="6"/>
        <v>100817.51072055692</v>
      </c>
      <c r="O35" s="116">
        <f>EDisponible!C48</f>
        <v>0.47664718803277484</v>
      </c>
      <c r="P35" s="116">
        <f t="shared" si="30"/>
        <v>-0.32335281196722521</v>
      </c>
      <c r="Q35" s="116">
        <f>IF(P35&lt;0, 0, 0.00035*(10*P35/((1/COS(M$1))-0.8))^(3/(1+1/(DATOS!E$6))))</f>
        <v>0</v>
      </c>
      <c r="R35" s="116">
        <f t="shared" si="31"/>
        <v>100817.51072055692</v>
      </c>
      <c r="S35" s="116">
        <f t="shared" si="32"/>
        <v>8390353.098897025</v>
      </c>
      <c r="T35" s="116">
        <f t="shared" si="7"/>
        <v>0.40282911817433648</v>
      </c>
      <c r="U35" s="116">
        <f t="shared" si="8"/>
        <v>2.3317113458977804E-2</v>
      </c>
      <c r="V35" s="116">
        <f t="shared" si="9"/>
        <v>97819.407583933978</v>
      </c>
      <c r="W35" s="116">
        <f>EDisponible!D48</f>
        <v>0.48521948022819972</v>
      </c>
      <c r="X35" s="116">
        <f t="shared" si="33"/>
        <v>-0.31478051977180033</v>
      </c>
      <c r="Y35" s="116">
        <f>IF(X35&lt;0, 0, 0.00035*(10*X35/((1/COS(M$1))-0.8))^(3/(1+1/(DATOS!E$6))))</f>
        <v>0</v>
      </c>
      <c r="Z35" s="116">
        <f t="shared" si="34"/>
        <v>97819.407583933978</v>
      </c>
      <c r="AA35" s="116">
        <f t="shared" si="35"/>
        <v>7170206.409132923</v>
      </c>
      <c r="AB35" s="116">
        <f t="shared" si="10"/>
        <v>0.47137813713353355</v>
      </c>
      <c r="AC35" s="116">
        <f t="shared" si="11"/>
        <v>2.7080793578901578E-2</v>
      </c>
      <c r="AD35" s="116">
        <f t="shared" si="36"/>
        <v>97087.439841922896</v>
      </c>
      <c r="AE35" s="116">
        <f>EDisponible!E48</f>
        <v>0.49427156375006986</v>
      </c>
      <c r="AF35" s="116">
        <f t="shared" si="37"/>
        <v>-0.30572843624993018</v>
      </c>
      <c r="AG35" s="116">
        <f>IF(AF35&lt;0, 0, 0.00035*(10*AF35/((1/COS(M$1))-0.8))^(3/(1+1/(DATOS!E$6))))</f>
        <v>0</v>
      </c>
      <c r="AH35" s="116">
        <f t="shared" si="38"/>
        <v>97087.439841922896</v>
      </c>
      <c r="AI35" s="116">
        <f t="shared" si="39"/>
        <v>6090684.9695887566</v>
      </c>
      <c r="AJ35" s="116">
        <f t="shared" si="12"/>
        <v>0.55492585101281466</v>
      </c>
      <c r="AK35" s="116">
        <f t="shared" si="13"/>
        <v>3.2466065560700488E-2</v>
      </c>
      <c r="AL35" s="116">
        <f t="shared" si="14"/>
        <v>98870.288766120822</v>
      </c>
      <c r="AM35" s="116">
        <f>EDisponible!F48</f>
        <v>0.50384993279849899</v>
      </c>
      <c r="AN35" s="116">
        <f t="shared" si="40"/>
        <v>-0.29615006720150105</v>
      </c>
      <c r="AO35" s="116">
        <f>IF(AN35&lt;0, 0, 0.00035*(10*AN35/((1/COS(M$1))-0.8))^(3/(1+1/(DATOS!E$6))))</f>
        <v>0</v>
      </c>
      <c r="AP35" s="116">
        <f t="shared" si="41"/>
        <v>98870.288766120822</v>
      </c>
      <c r="AQ35" s="116">
        <f t="shared" si="42"/>
        <v>5140140.096908614</v>
      </c>
      <c r="AR35" s="116">
        <f t="shared" si="15"/>
        <v>0.65754599607756381</v>
      </c>
      <c r="AS35" s="116">
        <f t="shared" si="16"/>
        <v>4.0280568203184888E-2</v>
      </c>
      <c r="AT35" s="116">
        <f t="shared" si="17"/>
        <v>103523.88187372641</v>
      </c>
      <c r="AU35" s="116">
        <f>EDisponible!G48</f>
        <v>0.51400764410909883</v>
      </c>
      <c r="AV35" s="116">
        <f t="shared" si="43"/>
        <v>-0.28599235589090122</v>
      </c>
      <c r="AW35" s="116">
        <f>IF(AV35&lt;0, 0, 0.00035*(10*AV35/((1/COS(M$1))-0.8))^(3/(1+1/(DATOS!E$6))))</f>
        <v>0</v>
      </c>
      <c r="AX35" s="116">
        <f t="shared" si="18"/>
        <v>103523.88187372641</v>
      </c>
      <c r="AY35" s="116">
        <f t="shared" si="44"/>
        <v>4307481.1458899742</v>
      </c>
      <c r="AZ35" s="116">
        <f t="shared" si="19"/>
        <v>0.7846531245354248</v>
      </c>
      <c r="BA35" s="116">
        <f t="shared" si="20"/>
        <v>5.1793665865703803E-2</v>
      </c>
      <c r="BB35" s="116">
        <f t="shared" si="21"/>
        <v>111550.11959652213</v>
      </c>
      <c r="BC35" s="116">
        <f>EDisponible!H48</f>
        <v>0.52480555802791107</v>
      </c>
      <c r="BD35" s="116">
        <f t="shared" si="45"/>
        <v>-0.27519444197208898</v>
      </c>
      <c r="BE35" s="116">
        <f>IF(BD35&lt;0, 0, 0.00035*(10*BD35/((1/COS(M$1))-0.8))^(3/(1+1/(DATOS!E$6))))</f>
        <v>0</v>
      </c>
      <c r="BF35" s="116">
        <f t="shared" si="22"/>
        <v>111550.11959652213</v>
      </c>
      <c r="BG35" s="116">
        <f t="shared" si="46"/>
        <v>3582169.8407035419</v>
      </c>
      <c r="BH35" s="116">
        <f t="shared" si="23"/>
        <v>0.94352827763638036</v>
      </c>
      <c r="BI35" s="116">
        <f t="shared" si="24"/>
        <v>6.9037838581163233E-2</v>
      </c>
      <c r="BJ35" s="116">
        <f t="shared" si="25"/>
        <v>123652.63161640117</v>
      </c>
      <c r="BK35" s="116">
        <f>EDisponible!I48</f>
        <v>0.53631387905771832</v>
      </c>
      <c r="BL35" s="116">
        <f t="shared" si="47"/>
        <v>-0.26368612094228172</v>
      </c>
      <c r="BM35" s="116">
        <f>IF(BL35&lt;0, 0, 0.00035*(10*BL35/((1/COS(M$1))-0.8))^(3/(1+1/(DATOS!E$6))))</f>
        <v>0</v>
      </c>
      <c r="BN35" s="116">
        <f t="shared" si="26"/>
        <v>123652.63161640117</v>
      </c>
    </row>
    <row r="36" spans="1:66">
      <c r="A36" s="41">
        <f>EDisponible!A49</f>
        <v>165</v>
      </c>
      <c r="B36" s="44"/>
      <c r="C36" s="116">
        <f t="shared" si="0"/>
        <v>12019348.341022786</v>
      </c>
      <c r="D36" s="116">
        <f t="shared" si="1"/>
        <v>0.28120314380641281</v>
      </c>
      <c r="E36" s="116">
        <f t="shared" si="2"/>
        <v>1.8091948896582718E-2</v>
      </c>
      <c r="F36" s="116">
        <f t="shared" si="3"/>
        <v>108726.71797800525</v>
      </c>
      <c r="G36" s="116">
        <f>EDisponible!B49</f>
        <v>0.48315480204891204</v>
      </c>
      <c r="H36" s="116">
        <f t="shared" si="27"/>
        <v>-0.31684519795108801</v>
      </c>
      <c r="I36" s="116">
        <f>IF(H36&lt;0, 0, 0.00035*(10*H36/((1/COS(M$1))-0.8))^(3/(1+1/(DATOS!E$6))))</f>
        <v>0</v>
      </c>
      <c r="J36" s="116">
        <f t="shared" si="28"/>
        <v>108726.71797800525</v>
      </c>
      <c r="K36" s="116">
        <f t="shared" si="29"/>
        <v>10383080.354710903</v>
      </c>
      <c r="L36" s="11">
        <f t="shared" si="4"/>
        <v>0.32551790263922176</v>
      </c>
      <c r="M36" s="116">
        <f t="shared" si="5"/>
        <v>1.9780578914879741E-2</v>
      </c>
      <c r="N36" s="116">
        <f t="shared" si="6"/>
        <v>102691.67016794828</v>
      </c>
      <c r="O36" s="116">
        <f>EDisponible!C49</f>
        <v>0.49154241265879905</v>
      </c>
      <c r="P36" s="116">
        <f t="shared" si="30"/>
        <v>-0.30845758734120099</v>
      </c>
      <c r="Q36" s="116">
        <f>IF(P36&lt;0, 0, 0.00035*(10*P36/((1/COS(M$1))-0.8))^(3/(1+1/(DATOS!E$6))))</f>
        <v>0</v>
      </c>
      <c r="R36" s="116">
        <f t="shared" si="31"/>
        <v>102691.67016794828</v>
      </c>
      <c r="S36" s="116">
        <f t="shared" si="32"/>
        <v>8922943.8717762306</v>
      </c>
      <c r="T36" s="116">
        <f t="shared" si="7"/>
        <v>0.3787851395872549</v>
      </c>
      <c r="U36" s="116">
        <f t="shared" si="8"/>
        <v>2.2136804074190622E-2</v>
      </c>
      <c r="V36" s="116">
        <f t="shared" si="9"/>
        <v>98762.730127255156</v>
      </c>
      <c r="W36" s="116">
        <f>EDisponible!D49</f>
        <v>0.50038258898533094</v>
      </c>
      <c r="X36" s="116">
        <f t="shared" si="33"/>
        <v>-0.2996174110146691</v>
      </c>
      <c r="Y36" s="116">
        <f>IF(X36&lt;0, 0, 0.00035*(10*X36/((1/COS(M$1))-0.8))^(3/(1+1/(DATOS!E$6))))</f>
        <v>0</v>
      </c>
      <c r="Z36" s="116">
        <f t="shared" si="34"/>
        <v>98762.730127255156</v>
      </c>
      <c r="AA36" s="116">
        <f t="shared" si="35"/>
        <v>7625346.4644001499</v>
      </c>
      <c r="AB36" s="116">
        <f t="shared" si="10"/>
        <v>0.44324261930646308</v>
      </c>
      <c r="AC36" s="116">
        <f t="shared" si="11"/>
        <v>2.5464601326646047E-2</v>
      </c>
      <c r="AD36" s="116">
        <f t="shared" si="36"/>
        <v>97088.203846749893</v>
      </c>
      <c r="AE36" s="116">
        <f>EDisponible!E49</f>
        <v>0.5097175501172595</v>
      </c>
      <c r="AF36" s="116">
        <f t="shared" si="37"/>
        <v>-0.29028244988274055</v>
      </c>
      <c r="AG36" s="116">
        <f>IF(AF36&lt;0, 0, 0.00035*(10*AF36/((1/COS(M$1))-0.8))^(3/(1+1/(DATOS!E$6))))</f>
        <v>0</v>
      </c>
      <c r="AH36" s="116">
        <f t="shared" si="38"/>
        <v>97088.203846749893</v>
      </c>
      <c r="AI36" s="116">
        <f t="shared" si="39"/>
        <v>6477300.7147286674</v>
      </c>
      <c r="AJ36" s="116">
        <f t="shared" si="12"/>
        <v>0.52180355503867981</v>
      </c>
      <c r="AK36" s="116">
        <f t="shared" si="13"/>
        <v>3.0226189116715353E-2</v>
      </c>
      <c r="AL36" s="116">
        <f t="shared" si="14"/>
        <v>97892.058184612106</v>
      </c>
      <c r="AM36" s="116">
        <f>EDisponible!F49</f>
        <v>0.51959524319845218</v>
      </c>
      <c r="AN36" s="116">
        <f t="shared" si="40"/>
        <v>-0.28040475680154786</v>
      </c>
      <c r="AO36" s="116">
        <f>IF(AN36&lt;0, 0, 0.00035*(10*AN36/((1/COS(M$1))-0.8))^(3/(1+1/(DATOS!E$6))))</f>
        <v>0</v>
      </c>
      <c r="AP36" s="116">
        <f t="shared" si="41"/>
        <v>97892.058184612106</v>
      </c>
      <c r="AQ36" s="116">
        <f t="shared" si="42"/>
        <v>5466418.5210287897</v>
      </c>
      <c r="AR36" s="116">
        <f t="shared" si="15"/>
        <v>0.61829853074694707</v>
      </c>
      <c r="AS36" s="116">
        <f t="shared" si="16"/>
        <v>3.7135671217838201E-2</v>
      </c>
      <c r="AT36" s="116">
        <f t="shared" si="17"/>
        <v>101499.56046801325</v>
      </c>
      <c r="AU36" s="116">
        <f>EDisponible!G49</f>
        <v>0.53007038298750819</v>
      </c>
      <c r="AV36" s="116">
        <f t="shared" si="43"/>
        <v>-0.26992961701249185</v>
      </c>
      <c r="AW36" s="116">
        <f>IF(AV36&lt;0, 0, 0.00035*(10*AV36/((1/COS(M$1))-0.8))^(3/(1+1/(DATOS!E$6))))</f>
        <v>0</v>
      </c>
      <c r="AX36" s="116">
        <f t="shared" si="18"/>
        <v>101499.56046801325</v>
      </c>
      <c r="AY36" s="116">
        <f t="shared" si="44"/>
        <v>4580905.2420646306</v>
      </c>
      <c r="AZ36" s="116">
        <f t="shared" si="19"/>
        <v>0.73781891600025251</v>
      </c>
      <c r="BA36" s="116">
        <f t="shared" si="20"/>
        <v>4.7315403168426334E-2</v>
      </c>
      <c r="BB36" s="116">
        <f t="shared" si="21"/>
        <v>108373.68920232281</v>
      </c>
      <c r="BC36" s="116">
        <f>EDisponible!H49</f>
        <v>0.54120573171628328</v>
      </c>
      <c r="BD36" s="116">
        <f t="shared" si="45"/>
        <v>-0.25879426828371677</v>
      </c>
      <c r="BE36" s="116">
        <f>IF(BD36&lt;0, 0, 0.00035*(10*BD36/((1/COS(M$1))-0.8))^(3/(1+1/(DATOS!E$6))))</f>
        <v>0</v>
      </c>
      <c r="BF36" s="116">
        <f t="shared" si="22"/>
        <v>108373.68920232281</v>
      </c>
      <c r="BG36" s="116">
        <f t="shared" si="46"/>
        <v>3809553.6684825751</v>
      </c>
      <c r="BH36" s="116">
        <f t="shared" si="23"/>
        <v>0.88721116280959922</v>
      </c>
      <c r="BI36" s="116">
        <f t="shared" si="24"/>
        <v>6.2562477509200812E-2</v>
      </c>
      <c r="BJ36" s="116">
        <f t="shared" si="25"/>
        <v>119167.55785226727</v>
      </c>
      <c r="BK36" s="116">
        <f>EDisponible!I49</f>
        <v>0.55307368777827193</v>
      </c>
      <c r="BL36" s="116">
        <f t="shared" si="47"/>
        <v>-0.24692631222172812</v>
      </c>
      <c r="BM36" s="116">
        <f>IF(BL36&lt;0, 0, 0.00035*(10*BL36/((1/COS(M$1))-0.8))^(3/(1+1/(DATOS!E$6))))</f>
        <v>0</v>
      </c>
      <c r="BN36" s="116">
        <f t="shared" si="26"/>
        <v>119167.55785226727</v>
      </c>
    </row>
    <row r="37" spans="1:66">
      <c r="A37" s="41">
        <f>EDisponible!A50</f>
        <v>170</v>
      </c>
      <c r="B37" s="44"/>
      <c r="C37" s="116">
        <f t="shared" si="0"/>
        <v>12758830.745842371</v>
      </c>
      <c r="D37" s="116">
        <f t="shared" si="1"/>
        <v>0.26490503772074703</v>
      </c>
      <c r="E37" s="116">
        <f t="shared" si="2"/>
        <v>1.7532947519043024E-2</v>
      </c>
      <c r="F37" s="116">
        <f t="shared" si="3"/>
        <v>111849.95493560343</v>
      </c>
      <c r="G37" s="116">
        <f>EDisponible!B50</f>
        <v>0.49779585665645482</v>
      </c>
      <c r="H37" s="116">
        <f t="shared" si="27"/>
        <v>-0.30220414334354523</v>
      </c>
      <c r="I37" s="116">
        <f>IF(H37&lt;0, 0, 0.00035*(10*H37/((1/COS(M$1))-0.8))^(3/(1+1/(DATOS!E$6))))</f>
        <v>0</v>
      </c>
      <c r="J37" s="116">
        <f t="shared" si="28"/>
        <v>111849.95493560343</v>
      </c>
      <c r="K37" s="116">
        <f t="shared" si="29"/>
        <v>11021892.461015429</v>
      </c>
      <c r="L37" s="11">
        <f t="shared" si="4"/>
        <v>0.30665138060044339</v>
      </c>
      <c r="M37" s="116">
        <f t="shared" si="5"/>
        <v>1.903150910829066E-2</v>
      </c>
      <c r="N37" s="116">
        <f t="shared" si="6"/>
        <v>104881.62338120765</v>
      </c>
      <c r="O37" s="116">
        <f>EDisponible!C50</f>
        <v>0.50643763728482327</v>
      </c>
      <c r="P37" s="116">
        <f t="shared" si="30"/>
        <v>-0.29356236271517677</v>
      </c>
      <c r="Q37" s="116">
        <f>IF(P37&lt;0, 0, 0.00035*(10*P37/((1/COS(M$1))-0.8))^(3/(1+1/(DATOS!E$6))))</f>
        <v>0</v>
      </c>
      <c r="R37" s="116">
        <f t="shared" si="31"/>
        <v>104881.62338120765</v>
      </c>
      <c r="S37" s="116">
        <f t="shared" si="32"/>
        <v>9471922.0530517194</v>
      </c>
      <c r="T37" s="116">
        <f t="shared" si="7"/>
        <v>0.35683132959387592</v>
      </c>
      <c r="U37" s="116">
        <f t="shared" si="8"/>
        <v>2.1122522818282096E-2</v>
      </c>
      <c r="V37" s="116">
        <f t="shared" si="9"/>
        <v>100035.44484928717</v>
      </c>
      <c r="W37" s="116">
        <f>EDisponible!D50</f>
        <v>0.51554569774246217</v>
      </c>
      <c r="X37" s="116">
        <f t="shared" si="33"/>
        <v>-0.28445430225753787</v>
      </c>
      <c r="Y37" s="116">
        <f>IF(X37&lt;0, 0, 0.00035*(10*X37/((1/COS(M$1))-0.8))^(3/(1+1/(DATOS!E$6))))</f>
        <v>0</v>
      </c>
      <c r="Z37" s="116">
        <f t="shared" si="34"/>
        <v>100035.44484928717</v>
      </c>
      <c r="AA37" s="116">
        <f t="shared" si="35"/>
        <v>8094490.8290602146</v>
      </c>
      <c r="AB37" s="116">
        <f t="shared" si="10"/>
        <v>0.41755295192451408</v>
      </c>
      <c r="AC37" s="116">
        <f t="shared" si="11"/>
        <v>2.4075750633314533E-2</v>
      </c>
      <c r="AD37" s="116">
        <f t="shared" si="36"/>
        <v>97440.471352052569</v>
      </c>
      <c r="AE37" s="116">
        <f>EDisponible!E50</f>
        <v>0.52516353648444924</v>
      </c>
      <c r="AF37" s="116">
        <f t="shared" si="37"/>
        <v>-0.2748364635155508</v>
      </c>
      <c r="AG37" s="116">
        <f>IF(AF37&lt;0, 0, 0.00035*(10*AF37/((1/COS(M$1))-0.8))^(3/(1+1/(DATOS!E$6))))</f>
        <v>0</v>
      </c>
      <c r="AH37" s="116">
        <f t="shared" si="38"/>
        <v>97440.471352052569</v>
      </c>
      <c r="AI37" s="116">
        <f t="shared" si="39"/>
        <v>6875812.3289498072</v>
      </c>
      <c r="AJ37" s="116">
        <f t="shared" si="12"/>
        <v>0.49156061543003654</v>
      </c>
      <c r="AK37" s="116">
        <f t="shared" si="13"/>
        <v>2.8301384720540182E-2</v>
      </c>
      <c r="AL37" s="116">
        <f t="shared" si="14"/>
        <v>97297.504993920942</v>
      </c>
      <c r="AM37" s="116">
        <f>EDisponible!F50</f>
        <v>0.53534055359840527</v>
      </c>
      <c r="AN37" s="116">
        <f t="shared" si="40"/>
        <v>-0.26465944640159478</v>
      </c>
      <c r="AO37" s="116">
        <f>IF(AN37&lt;0, 0, 0.00035*(10*AN37/((1/COS(M$1))-0.8))^(3/(1+1/(DATOS!E$6))))</f>
        <v>0</v>
      </c>
      <c r="AP37" s="116">
        <f t="shared" si="41"/>
        <v>97297.504993920942</v>
      </c>
      <c r="AQ37" s="116">
        <f t="shared" si="42"/>
        <v>5802736.2812757399</v>
      </c>
      <c r="AR37" s="116">
        <f t="shared" si="15"/>
        <v>0.58246288925901846</v>
      </c>
      <c r="AS37" s="116">
        <f t="shared" si="16"/>
        <v>3.4433150925181621E-2</v>
      </c>
      <c r="AT37" s="116">
        <f t="shared" si="17"/>
        <v>99903.247076097352</v>
      </c>
      <c r="AU37" s="116">
        <f>EDisponible!G50</f>
        <v>0.54613312186591756</v>
      </c>
      <c r="AV37" s="116">
        <f t="shared" si="43"/>
        <v>-0.25386687813408249</v>
      </c>
      <c r="AW37" s="116">
        <f>IF(AV37&lt;0, 0, 0.00035*(10*AV37/((1/COS(M$1))-0.8))^(3/(1+1/(DATOS!E$6))))</f>
        <v>0</v>
      </c>
      <c r="AX37" s="116">
        <f t="shared" si="18"/>
        <v>99903.247076097352</v>
      </c>
      <c r="AY37" s="116">
        <f t="shared" si="44"/>
        <v>4862742.387352353</v>
      </c>
      <c r="AZ37" s="116">
        <f t="shared" si="19"/>
        <v>0.69505605495179501</v>
      </c>
      <c r="BA37" s="116">
        <f t="shared" si="20"/>
        <v>4.3467074949209587E-2</v>
      </c>
      <c r="BB37" s="116">
        <f t="shared" si="21"/>
        <v>105684.59390487154</v>
      </c>
      <c r="BC37" s="116">
        <f>EDisponible!H50</f>
        <v>0.55760590540465549</v>
      </c>
      <c r="BD37" s="116">
        <f t="shared" si="45"/>
        <v>-0.24239409459534456</v>
      </c>
      <c r="BE37" s="116">
        <f>IF(BD37&lt;0, 0, 0.00035*(10*BD37/((1/COS(M$1))-0.8))^(3/(1+1/(DATOS!E$6))))</f>
        <v>0</v>
      </c>
      <c r="BF37" s="116">
        <f t="shared" si="22"/>
        <v>105684.59390487154</v>
      </c>
      <c r="BG37" s="116">
        <f t="shared" si="46"/>
        <v>4043933.9217317333</v>
      </c>
      <c r="BH37" s="116">
        <f t="shared" si="23"/>
        <v>0.83578975458447524</v>
      </c>
      <c r="BI37" s="116">
        <f t="shared" si="24"/>
        <v>5.6997972604653703E-2</v>
      </c>
      <c r="BJ37" s="116">
        <f t="shared" si="25"/>
        <v>115248.01744294757</v>
      </c>
      <c r="BK37" s="116">
        <f>EDisponible!I50</f>
        <v>0.56983349649882564</v>
      </c>
      <c r="BL37" s="116">
        <f t="shared" si="47"/>
        <v>-0.2301665035011744</v>
      </c>
      <c r="BM37" s="116">
        <f>IF(BL37&lt;0, 0, 0.00035*(10*BL37/((1/COS(M$1))-0.8))^(3/(1+1/(DATOS!E$6))))</f>
        <v>0</v>
      </c>
      <c r="BN37" s="116">
        <f t="shared" si="26"/>
        <v>115248.01744294757</v>
      </c>
    </row>
    <row r="38" spans="1:66">
      <c r="A38" s="41">
        <f>EDisponible!A51</f>
        <v>175</v>
      </c>
      <c r="B38" s="44"/>
      <c r="C38" s="116">
        <f t="shared" si="0"/>
        <v>13520387.252298359</v>
      </c>
      <c r="D38" s="116">
        <f t="shared" si="1"/>
        <v>0.24998385600423148</v>
      </c>
      <c r="E38" s="116">
        <f t="shared" si="2"/>
        <v>1.7050429208741738E-2</v>
      </c>
      <c r="F38" s="116">
        <f t="shared" si="3"/>
        <v>115264.20286004369</v>
      </c>
      <c r="G38" s="116">
        <f>EDisponible!B51</f>
        <v>0.5124369112639976</v>
      </c>
      <c r="H38" s="116">
        <f t="shared" si="27"/>
        <v>-0.28756308873600245</v>
      </c>
      <c r="I38" s="116">
        <f>IF(H38&lt;0, 0, 0.00035*(10*H38/((1/COS(M$1))-0.8))^(3/(1+1/(DATOS!E$6))))</f>
        <v>0</v>
      </c>
      <c r="J38" s="116">
        <f t="shared" si="28"/>
        <v>115264.20286004369</v>
      </c>
      <c r="K38" s="116">
        <f t="shared" si="29"/>
        <v>11679773.585418601</v>
      </c>
      <c r="L38" s="11">
        <f t="shared" si="4"/>
        <v>0.28937877222376535</v>
      </c>
      <c r="M38" s="116">
        <f t="shared" si="5"/>
        <v>1.8384927700989186E-2</v>
      </c>
      <c r="N38" s="116">
        <f t="shared" si="6"/>
        <v>107365.89646592211</v>
      </c>
      <c r="O38" s="116">
        <f>EDisponible!C51</f>
        <v>0.52133286191084749</v>
      </c>
      <c r="P38" s="116">
        <f t="shared" si="30"/>
        <v>-0.27866713808915256</v>
      </c>
      <c r="Q38" s="116">
        <f>IF(P38&lt;0, 0, 0.00035*(10*P38/((1/COS(M$1))-0.8))^(3/(1+1/(DATOS!E$6))))</f>
        <v>0</v>
      </c>
      <c r="R38" s="116">
        <f t="shared" si="31"/>
        <v>107365.89646592211</v>
      </c>
      <c r="S38" s="116">
        <f t="shared" si="32"/>
        <v>10037287.642723491</v>
      </c>
      <c r="T38" s="116">
        <f t="shared" si="7"/>
        <v>0.33673225878409846</v>
      </c>
      <c r="U38" s="116">
        <f t="shared" si="8"/>
        <v>2.0247016428789347E-2</v>
      </c>
      <c r="V38" s="116">
        <f t="shared" si="9"/>
        <v>101612.56390135341</v>
      </c>
      <c r="W38" s="116">
        <f>EDisponible!D51</f>
        <v>0.5307088064995934</v>
      </c>
      <c r="X38" s="116">
        <f t="shared" si="33"/>
        <v>-0.26929119350040664</v>
      </c>
      <c r="Y38" s="116">
        <f>IF(X38&lt;0, 0, 0.00035*(10*X38/((1/COS(M$1))-0.8))^(3/(1+1/(DATOS!E$6))))</f>
        <v>0</v>
      </c>
      <c r="Z38" s="116">
        <f t="shared" si="34"/>
        <v>101612.56390135341</v>
      </c>
      <c r="AA38" s="116">
        <f t="shared" si="35"/>
        <v>8577639.5031131152</v>
      </c>
      <c r="AB38" s="116">
        <f t="shared" si="10"/>
        <v>0.3940336427957048</v>
      </c>
      <c r="AC38" s="116">
        <f t="shared" si="11"/>
        <v>2.2876923731032874E-2</v>
      </c>
      <c r="AD38" s="116">
        <f t="shared" si="36"/>
        <v>98115.002352506723</v>
      </c>
      <c r="AE38" s="116">
        <f>EDisponible!E51</f>
        <v>0.54060952285163888</v>
      </c>
      <c r="AF38" s="116">
        <f t="shared" si="37"/>
        <v>-0.25939047714836116</v>
      </c>
      <c r="AG38" s="116">
        <f>IF(AF38&lt;0, 0, 0.00035*(10*AF38/((1/COS(M$1))-0.8))^(3/(1+1/(DATOS!E$6))))</f>
        <v>0</v>
      </c>
      <c r="AH38" s="116">
        <f t="shared" si="38"/>
        <v>98115.002352506723</v>
      </c>
      <c r="AI38" s="116">
        <f t="shared" si="39"/>
        <v>7286219.8122521751</v>
      </c>
      <c r="AJ38" s="116">
        <f t="shared" si="12"/>
        <v>0.46387271137724262</v>
      </c>
      <c r="AK38" s="116">
        <f t="shared" si="13"/>
        <v>2.6639933779237297E-2</v>
      </c>
      <c r="AL38" s="116">
        <f t="shared" si="14"/>
        <v>97052.206649682383</v>
      </c>
      <c r="AM38" s="116">
        <f>EDisponible!F51</f>
        <v>0.55108586399835835</v>
      </c>
      <c r="AN38" s="116">
        <f t="shared" si="40"/>
        <v>-0.24891413600164169</v>
      </c>
      <c r="AO38" s="116">
        <f>IF(AN38&lt;0, 0, 0.00035*(10*AN38/((1/COS(M$1))-0.8))^(3/(1+1/(DATOS!E$6))))</f>
        <v>0</v>
      </c>
      <c r="AP38" s="116">
        <f t="shared" si="41"/>
        <v>97052.206649682383</v>
      </c>
      <c r="AQ38" s="116">
        <f t="shared" si="42"/>
        <v>6149093.3776494656</v>
      </c>
      <c r="AR38" s="116">
        <f t="shared" si="15"/>
        <v>0.54965477549667374</v>
      </c>
      <c r="AS38" s="116">
        <f t="shared" si="16"/>
        <v>3.2100391870263187E-2</v>
      </c>
      <c r="AT38" s="116">
        <f t="shared" si="17"/>
        <v>98694.153534694051</v>
      </c>
      <c r="AU38" s="116">
        <f>EDisponible!G51</f>
        <v>0.56219586074432693</v>
      </c>
      <c r="AV38" s="116">
        <f t="shared" si="43"/>
        <v>-0.23780413925567312</v>
      </c>
      <c r="AW38" s="116">
        <f>IF(AV38&lt;0, 0, 0.00035*(10*AV38/((1/COS(M$1))-0.8))^(3/(1+1/(DATOS!E$6))))</f>
        <v>0</v>
      </c>
      <c r="AX38" s="116">
        <f t="shared" si="18"/>
        <v>98694.153534694051</v>
      </c>
      <c r="AY38" s="116">
        <f t="shared" si="44"/>
        <v>5152992.5817531431</v>
      </c>
      <c r="AZ38" s="116">
        <f t="shared" si="19"/>
        <v>0.65590595879532643</v>
      </c>
      <c r="BA38" s="116">
        <f t="shared" si="20"/>
        <v>4.0145278430578669E-2</v>
      </c>
      <c r="BB38" s="116">
        <f t="shared" si="21"/>
        <v>103434.16097259318</v>
      </c>
      <c r="BC38" s="116">
        <f>EDisponible!H51</f>
        <v>0.57400607909302781</v>
      </c>
      <c r="BD38" s="116">
        <f t="shared" si="45"/>
        <v>-0.22599392090697223</v>
      </c>
      <c r="BE38" s="116">
        <f>IF(BD38&lt;0, 0, 0.00035*(10*BD38/((1/COS(M$1))-0.8))^(3/(1+1/(DATOS!E$6))))</f>
        <v>0</v>
      </c>
      <c r="BF38" s="116">
        <f t="shared" si="22"/>
        <v>103434.16097259318</v>
      </c>
      <c r="BG38" s="116">
        <f t="shared" si="46"/>
        <v>4285310.6004510149</v>
      </c>
      <c r="BH38" s="116">
        <f t="shared" si="23"/>
        <v>0.78871261738747223</v>
      </c>
      <c r="BI38" s="116">
        <f t="shared" si="24"/>
        <v>5.2194808226020968E-2</v>
      </c>
      <c r="BJ38" s="116">
        <f t="shared" si="25"/>
        <v>111835.48248973774</v>
      </c>
      <c r="BK38" s="116">
        <f>EDisponible!I51</f>
        <v>0.58659330521937936</v>
      </c>
      <c r="BL38" s="116">
        <f t="shared" si="47"/>
        <v>-0.21340669478062069</v>
      </c>
      <c r="BM38" s="116">
        <f>IF(BL38&lt;0, 0, 0.00035*(10*BL38/((1/COS(M$1))-0.8))^(3/(1+1/(DATOS!E$6))))</f>
        <v>0</v>
      </c>
      <c r="BN38" s="116">
        <f t="shared" si="26"/>
        <v>111835.48248973774</v>
      </c>
    </row>
    <row r="39" spans="1:66">
      <c r="A39" s="41">
        <f>EDisponible!A52</f>
        <v>180</v>
      </c>
      <c r="B39" s="44"/>
      <c r="C39" s="116">
        <f t="shared" si="0"/>
        <v>14304017.860390754</v>
      </c>
      <c r="D39" s="116">
        <f t="shared" si="1"/>
        <v>0.23628875278177744</v>
      </c>
      <c r="E39" s="116">
        <f t="shared" si="2"/>
        <v>1.6632173216519587E-2</v>
      </c>
      <c r="F39" s="116">
        <f t="shared" si="3"/>
        <v>118953.45137310446</v>
      </c>
      <c r="G39" s="116">
        <f>EDisponible!B52</f>
        <v>0.52707796587154043</v>
      </c>
      <c r="H39" s="116">
        <f t="shared" si="27"/>
        <v>-0.27292203412845961</v>
      </c>
      <c r="I39" s="116">
        <f>IF(H39&lt;0, 0, 0.00035*(10*H39/((1/COS(M$1))-0.8))^(3/(1+1/(DATOS!E$6))))</f>
        <v>0</v>
      </c>
      <c r="J39" s="116">
        <f t="shared" si="28"/>
        <v>118953.45137310446</v>
      </c>
      <c r="K39" s="116">
        <f t="shared" si="29"/>
        <v>12356723.727920411</v>
      </c>
      <c r="L39" s="11">
        <f t="shared" si="4"/>
        <v>0.27352545985656834</v>
      </c>
      <c r="M39" s="116">
        <f t="shared" si="5"/>
        <v>1.7824458715067364E-2</v>
      </c>
      <c r="N39" s="116">
        <f t="shared" si="6"/>
        <v>110125.95597090533</v>
      </c>
      <c r="O39" s="116">
        <f>EDisponible!C52</f>
        <v>0.53622808653687171</v>
      </c>
      <c r="P39" s="116">
        <f t="shared" si="30"/>
        <v>-0.26377191346312834</v>
      </c>
      <c r="Q39" s="116">
        <f>IF(P39&lt;0, 0, 0.00035*(10*P39/((1/COS(M$1))-0.8))^(3/(1+1/(DATOS!E$6))))</f>
        <v>0</v>
      </c>
      <c r="R39" s="116">
        <f t="shared" si="31"/>
        <v>110125.95597090533</v>
      </c>
      <c r="S39" s="116">
        <f t="shared" si="32"/>
        <v>10619040.640791547</v>
      </c>
      <c r="T39" s="116">
        <f t="shared" si="7"/>
        <v>0.31828473534762391</v>
      </c>
      <c r="U39" s="116">
        <f t="shared" si="8"/>
        <v>1.9488110941025628E-2</v>
      </c>
      <c r="V39" s="116">
        <f t="shared" si="9"/>
        <v>103472.52104750277</v>
      </c>
      <c r="W39" s="116">
        <f>EDisponible!D52</f>
        <v>0.54587191525672474</v>
      </c>
      <c r="X39" s="116">
        <f t="shared" si="33"/>
        <v>-0.25412808474327531</v>
      </c>
      <c r="Y39" s="116">
        <f>IF(X39&lt;0, 0, 0.00035*(10*X39/((1/COS(M$1))-0.8))^(3/(1+1/(DATOS!E$6))))</f>
        <v>0</v>
      </c>
      <c r="Z39" s="116">
        <f t="shared" si="34"/>
        <v>103472.52104750277</v>
      </c>
      <c r="AA39" s="116">
        <f t="shared" si="35"/>
        <v>9074792.4865588564</v>
      </c>
      <c r="AB39" s="116">
        <f t="shared" si="10"/>
        <v>0.37244692316723632</v>
      </c>
      <c r="AC39" s="116">
        <f t="shared" si="11"/>
        <v>2.1837757911183801E-2</v>
      </c>
      <c r="AD39" s="116">
        <f t="shared" si="36"/>
        <v>99086.560707850993</v>
      </c>
      <c r="AE39" s="116">
        <f>EDisponible!E52</f>
        <v>0.55605550921882863</v>
      </c>
      <c r="AF39" s="116">
        <f t="shared" si="37"/>
        <v>-0.24394449078117142</v>
      </c>
      <c r="AG39" s="116">
        <f>IF(AF39&lt;0, 0, 0.00035*(10*AF39/((1/COS(M$1))-0.8))^(3/(1+1/(DATOS!E$6))))</f>
        <v>0</v>
      </c>
      <c r="AH39" s="116">
        <f t="shared" si="38"/>
        <v>99086.560707850993</v>
      </c>
      <c r="AI39" s="116">
        <f t="shared" si="39"/>
        <v>7708523.16463577</v>
      </c>
      <c r="AJ39" s="116">
        <f t="shared" si="12"/>
        <v>0.43845993166444619</v>
      </c>
      <c r="AK39" s="116">
        <f t="shared" si="13"/>
        <v>2.5199756697565197E-2</v>
      </c>
      <c r="AL39" s="116">
        <f t="shared" si="14"/>
        <v>97126.454123183357</v>
      </c>
      <c r="AM39" s="116">
        <f>EDisponible!F52</f>
        <v>0.56683117439831143</v>
      </c>
      <c r="AN39" s="116">
        <f t="shared" si="40"/>
        <v>-0.23316882560168861</v>
      </c>
      <c r="AO39" s="116">
        <f>IF(AN39&lt;0, 0, 0.00035*(10*AN39/((1/COS(M$1))-0.8))^(3/(1+1/(DATOS!E$6))))</f>
        <v>0</v>
      </c>
      <c r="AP39" s="116">
        <f t="shared" si="41"/>
        <v>97126.454123183357</v>
      </c>
      <c r="AQ39" s="116">
        <f t="shared" si="42"/>
        <v>6505489.8101499649</v>
      </c>
      <c r="AR39" s="116">
        <f t="shared" si="15"/>
        <v>0.51954251541930963</v>
      </c>
      <c r="AS39" s="116">
        <f t="shared" si="16"/>
        <v>3.007831222623706E-2</v>
      </c>
      <c r="AT39" s="116">
        <f t="shared" si="17"/>
        <v>97837.076847147153</v>
      </c>
      <c r="AU39" s="116">
        <f>EDisponible!G52</f>
        <v>0.57825859962273618</v>
      </c>
      <c r="AV39" s="116">
        <f t="shared" si="43"/>
        <v>-0.22174140037726386</v>
      </c>
      <c r="AW39" s="116">
        <f>IF(AV39&lt;0, 0, 0.00035*(10*AV39/((1/COS(M$1))-0.8))^(3/(1+1/(DATOS!E$6))))</f>
        <v>0</v>
      </c>
      <c r="AX39" s="116">
        <f t="shared" si="18"/>
        <v>97837.076847147153</v>
      </c>
      <c r="AY39" s="116">
        <f t="shared" si="44"/>
        <v>5451655.8252669983</v>
      </c>
      <c r="AZ39" s="116">
        <f t="shared" si="19"/>
        <v>0.61997283913910106</v>
      </c>
      <c r="BA39" s="116">
        <f t="shared" si="20"/>
        <v>3.7265882417622131E-2</v>
      </c>
      <c r="BB39" s="116">
        <f t="shared" si="21"/>
        <v>101580.38248287234</v>
      </c>
      <c r="BC39" s="116">
        <f>EDisponible!H52</f>
        <v>0.59040625278140002</v>
      </c>
      <c r="BD39" s="116">
        <f t="shared" si="45"/>
        <v>-0.20959374721860002</v>
      </c>
      <c r="BE39" s="116">
        <f>IF(BD39&lt;0, 0, 0.00035*(10*BD39/((1/COS(M$1))-0.8))^(3/(1+1/(DATOS!E$6))))</f>
        <v>0</v>
      </c>
      <c r="BF39" s="116">
        <f t="shared" si="22"/>
        <v>101580.38248287234</v>
      </c>
      <c r="BG39" s="116">
        <f t="shared" si="46"/>
        <v>4533683.7046404202</v>
      </c>
      <c r="BH39" s="116">
        <f t="shared" si="23"/>
        <v>0.74550382430528828</v>
      </c>
      <c r="BI39" s="116">
        <f t="shared" si="24"/>
        <v>4.8031334550303416E-2</v>
      </c>
      <c r="BJ39" s="116">
        <f t="shared" si="25"/>
        <v>108879.4393814215</v>
      </c>
      <c r="BK39" s="116">
        <f>EDisponible!I52</f>
        <v>0.60335311393993307</v>
      </c>
      <c r="BL39" s="116">
        <f t="shared" si="47"/>
        <v>-0.19664688606006697</v>
      </c>
      <c r="BM39" s="116">
        <f>IF(BL39&lt;0, 0, 0.00035*(10*BL39/((1/COS(M$1))-0.8))^(3/(1+1/(DATOS!E$6))))</f>
        <v>0</v>
      </c>
      <c r="BN39" s="116">
        <f t="shared" si="26"/>
        <v>108879.4393814215</v>
      </c>
    </row>
    <row r="40" spans="1:66">
      <c r="A40" s="41">
        <f>EDisponible!A53</f>
        <v>185</v>
      </c>
      <c r="B40" s="44"/>
      <c r="C40" s="116">
        <f t="shared" si="0"/>
        <v>15109722.570119556</v>
      </c>
      <c r="D40" s="116">
        <f t="shared" si="1"/>
        <v>0.22368898729377906</v>
      </c>
      <c r="E40" s="116">
        <f t="shared" si="2"/>
        <v>1.6268177450572661E-2</v>
      </c>
      <c r="F40" s="116">
        <f t="shared" si="3"/>
        <v>122903.82399981387</v>
      </c>
      <c r="G40" s="116">
        <f>EDisponible!B53</f>
        <v>0.54171902047908316</v>
      </c>
      <c r="H40" s="116">
        <f t="shared" si="27"/>
        <v>-0.25828097952091689</v>
      </c>
      <c r="I40" s="116">
        <f>IF(H40&lt;0, 0, 0.00035*(10*H40/((1/COS(M$1))-0.8))^(3/(1+1/(DATOS!E$6))))</f>
        <v>0</v>
      </c>
      <c r="J40" s="116">
        <f t="shared" si="28"/>
        <v>122903.82399981387</v>
      </c>
      <c r="K40" s="116">
        <f t="shared" si="29"/>
        <v>13052742.888520868</v>
      </c>
      <c r="L40" s="11">
        <f t="shared" si="4"/>
        <v>0.25894009932367607</v>
      </c>
      <c r="M40" s="116">
        <f t="shared" si="5"/>
        <v>1.7336699205069115E-2</v>
      </c>
      <c r="N40" s="116">
        <f t="shared" si="6"/>
        <v>113145.73862969564</v>
      </c>
      <c r="O40" s="116">
        <f>EDisponible!C53</f>
        <v>0.55112331116289592</v>
      </c>
      <c r="P40" s="116">
        <f t="shared" si="30"/>
        <v>-0.24887668883710412</v>
      </c>
      <c r="Q40" s="116">
        <f>IF(P40&lt;0, 0, 0.00035*(10*P40/((1/COS(M$1))-0.8))^(3/(1+1/(DATOS!E$6))))</f>
        <v>0</v>
      </c>
      <c r="R40" s="116">
        <f t="shared" si="31"/>
        <v>113145.73862969564</v>
      </c>
      <c r="S40" s="116">
        <f t="shared" si="32"/>
        <v>11217181.047255885</v>
      </c>
      <c r="T40" s="116">
        <f t="shared" si="7"/>
        <v>0.3013126493867937</v>
      </c>
      <c r="U40" s="116">
        <f t="shared" si="8"/>
        <v>1.8827658037930919E-2</v>
      </c>
      <c r="V40" s="116">
        <f t="shared" si="9"/>
        <v>105596.62445364681</v>
      </c>
      <c r="W40" s="116">
        <f>EDisponible!D53</f>
        <v>0.56103502401385597</v>
      </c>
      <c r="X40" s="116">
        <f t="shared" si="33"/>
        <v>-0.23896497598614408</v>
      </c>
      <c r="Y40" s="116">
        <f>IF(X40&lt;0, 0, 0.00035*(10*X40/((1/COS(M$1))-0.8))^(3/(1+1/(DATOS!E$6))))</f>
        <v>0</v>
      </c>
      <c r="Z40" s="116">
        <f t="shared" si="34"/>
        <v>105596.62445364681</v>
      </c>
      <c r="AA40" s="116">
        <f t="shared" si="35"/>
        <v>9585949.7793974336</v>
      </c>
      <c r="AB40" s="116">
        <f t="shared" si="10"/>
        <v>0.35258671470032016</v>
      </c>
      <c r="AC40" s="116">
        <f t="shared" si="11"/>
        <v>2.0933402766067505E-2</v>
      </c>
      <c r="AD40" s="116">
        <f t="shared" si="36"/>
        <v>100333.27381371122</v>
      </c>
      <c r="AE40" s="116">
        <f>EDisponible!E53</f>
        <v>0.57150149558601826</v>
      </c>
      <c r="AF40" s="116">
        <f t="shared" si="37"/>
        <v>-0.22849850441398178</v>
      </c>
      <c r="AG40" s="116">
        <f>IF(AF40&lt;0, 0, 0.00035*(10*AF40/((1/COS(M$1))-0.8))^(3/(1+1/(DATOS!E$6))))</f>
        <v>0</v>
      </c>
      <c r="AH40" s="116">
        <f t="shared" si="38"/>
        <v>100333.27381371122</v>
      </c>
      <c r="AI40" s="116">
        <f t="shared" si="39"/>
        <v>8142722.386100593</v>
      </c>
      <c r="AJ40" s="116">
        <f t="shared" si="12"/>
        <v>0.41507967234267512</v>
      </c>
      <c r="AK40" s="116">
        <f t="shared" si="13"/>
        <v>2.3946413363122282E-2</v>
      </c>
      <c r="AL40" s="116">
        <f t="shared" si="14"/>
        <v>97494.498079357101</v>
      </c>
      <c r="AM40" s="116">
        <f>EDisponible!F53</f>
        <v>0.58257648479826452</v>
      </c>
      <c r="AN40" s="116">
        <f t="shared" si="40"/>
        <v>-0.21742351520173553</v>
      </c>
      <c r="AO40" s="116">
        <f>IF(AN40&lt;0, 0, 0.00035*(10*AN40/((1/COS(M$1))-0.8))^(3/(1+1/(DATOS!E$6))))</f>
        <v>0</v>
      </c>
      <c r="AP40" s="116">
        <f t="shared" si="41"/>
        <v>97494.498079357101</v>
      </c>
      <c r="AQ40" s="116">
        <f t="shared" si="42"/>
        <v>6871925.5787772387</v>
      </c>
      <c r="AR40" s="116">
        <f t="shared" si="15"/>
        <v>0.49183864133193966</v>
      </c>
      <c r="AS40" s="116">
        <f t="shared" si="16"/>
        <v>2.8318556376900568E-2</v>
      </c>
      <c r="AT40" s="116">
        <f t="shared" si="17"/>
        <v>97301.50596023415</v>
      </c>
      <c r="AU40" s="116">
        <f>EDisponible!G53</f>
        <v>0.59432133850114555</v>
      </c>
      <c r="AV40" s="116">
        <f t="shared" si="43"/>
        <v>-0.2056786614988545</v>
      </c>
      <c r="AW40" s="116">
        <f>IF(AV40&lt;0, 0, 0.00035*(10*AV40/((1/COS(M$1))-0.8))^(3/(1+1/(DATOS!E$6))))</f>
        <v>0</v>
      </c>
      <c r="AX40" s="116">
        <f t="shared" si="18"/>
        <v>97301.50596023415</v>
      </c>
      <c r="AY40" s="116">
        <f t="shared" si="44"/>
        <v>5758732.1178939203</v>
      </c>
      <c r="AZ40" s="116">
        <f t="shared" si="19"/>
        <v>0.58691365925805328</v>
      </c>
      <c r="BA40" s="116">
        <f t="shared" si="20"/>
        <v>3.4760029598557306E-2</v>
      </c>
      <c r="BB40" s="116">
        <f t="shared" si="21"/>
        <v>100086.84943407764</v>
      </c>
      <c r="BC40" s="116">
        <f>EDisponible!H53</f>
        <v>0.60680642646977223</v>
      </c>
      <c r="BD40" s="116">
        <f t="shared" si="45"/>
        <v>-0.19319357353022781</v>
      </c>
      <c r="BE40" s="116">
        <f>IF(BD40&lt;0, 0, 0.00035*(10*BD40/((1/COS(M$1))-0.8))^(3/(1+1/(DATOS!E$6))))</f>
        <v>0</v>
      </c>
      <c r="BF40" s="116">
        <f t="shared" si="22"/>
        <v>100086.84943407764</v>
      </c>
      <c r="BG40" s="116">
        <f t="shared" si="46"/>
        <v>4789053.2342999503</v>
      </c>
      <c r="BH40" s="116">
        <f t="shared" si="23"/>
        <v>0.70575088115387397</v>
      </c>
      <c r="BI40" s="116">
        <f t="shared" si="24"/>
        <v>4.4407987084219204E-2</v>
      </c>
      <c r="BJ40" s="116">
        <f t="shared" si="25"/>
        <v>106336.1070872152</v>
      </c>
      <c r="BK40" s="116">
        <f>EDisponible!I53</f>
        <v>0.62011292266048679</v>
      </c>
      <c r="BL40" s="116">
        <f t="shared" si="47"/>
        <v>-0.17988707733951326</v>
      </c>
      <c r="BM40" s="116">
        <f>IF(BL40&lt;0, 0, 0.00035*(10*BL40/((1/COS(M$1))-0.8))^(3/(1+1/(DATOS!E$6))))</f>
        <v>0</v>
      </c>
      <c r="BN40" s="116">
        <f t="shared" si="26"/>
        <v>106336.1070872152</v>
      </c>
    </row>
    <row r="41" spans="1:66">
      <c r="A41" s="41">
        <f>EDisponible!A54</f>
        <v>190</v>
      </c>
      <c r="B41" s="44"/>
      <c r="C41" s="116">
        <f t="shared" si="0"/>
        <v>15937501.38148476</v>
      </c>
      <c r="D41" s="116">
        <f t="shared" si="1"/>
        <v>0.21207079197034873</v>
      </c>
      <c r="E41" s="116">
        <f t="shared" si="2"/>
        <v>1.5950209849315115E-2</v>
      </c>
      <c r="F41" s="116">
        <f t="shared" si="3"/>
        <v>127103.24575421574</v>
      </c>
      <c r="G41" s="116">
        <f>EDisponible!B54</f>
        <v>0.55636007508662599</v>
      </c>
      <c r="H41" s="116">
        <f t="shared" si="27"/>
        <v>-0.24363992491337405</v>
      </c>
      <c r="I41" s="116">
        <f>IF(H41&lt;0, 0, 0.00035*(10*H41/((1/COS(M$1))-0.8))^(3/(1+1/(DATOS!E$6))))</f>
        <v>0</v>
      </c>
      <c r="J41" s="116">
        <f t="shared" si="28"/>
        <v>127103.24575421574</v>
      </c>
      <c r="K41" s="116">
        <f t="shared" si="29"/>
        <v>13767831.067219967</v>
      </c>
      <c r="L41" s="11">
        <f t="shared" si="4"/>
        <v>0.24549099444190617</v>
      </c>
      <c r="M41" s="116">
        <f t="shared" si="5"/>
        <v>1.6910618091237381E-2</v>
      </c>
      <c r="N41" s="116">
        <f t="shared" si="6"/>
        <v>116411.26656121502</v>
      </c>
      <c r="O41" s="116">
        <f>EDisponible!C54</f>
        <v>0.56601853578892014</v>
      </c>
      <c r="P41" s="116">
        <f t="shared" si="30"/>
        <v>-0.2339814642110799</v>
      </c>
      <c r="Q41" s="116">
        <f>IF(P41&lt;0, 0, 0.00035*(10*P41/((1/COS(M$1))-0.8))^(3/(1+1/(DATOS!E$6))))</f>
        <v>0</v>
      </c>
      <c r="R41" s="116">
        <f t="shared" si="31"/>
        <v>116411.26656121502</v>
      </c>
      <c r="S41" s="116">
        <f t="shared" si="32"/>
        <v>11831708.862116506</v>
      </c>
      <c r="T41" s="116">
        <f t="shared" si="7"/>
        <v>0.28566275416241038</v>
      </c>
      <c r="U41" s="116">
        <f t="shared" si="8"/>
        <v>1.8250721037594411E-2</v>
      </c>
      <c r="V41" s="116">
        <f t="shared" si="9"/>
        <v>107968.60892026097</v>
      </c>
      <c r="W41" s="116">
        <f>EDisponible!D54</f>
        <v>0.57619813277098719</v>
      </c>
      <c r="X41" s="116">
        <f t="shared" si="33"/>
        <v>-0.22380186722901285</v>
      </c>
      <c r="Y41" s="116">
        <f>IF(X41&lt;0, 0, 0.00035*(10*X41/((1/COS(M$1))-0.8))^(3/(1+1/(DATOS!E$6))))</f>
        <v>0</v>
      </c>
      <c r="Z41" s="116">
        <f t="shared" si="34"/>
        <v>107968.60892026097</v>
      </c>
      <c r="AA41" s="116">
        <f t="shared" si="35"/>
        <v>10111111.381628849</v>
      </c>
      <c r="AB41" s="116">
        <f t="shared" si="10"/>
        <v>0.33427369281491576</v>
      </c>
      <c r="AC41" s="116">
        <f t="shared" si="11"/>
        <v>2.0143405565332263E-2</v>
      </c>
      <c r="AD41" s="116">
        <f t="shared" si="36"/>
        <v>101836.10863819846</v>
      </c>
      <c r="AE41" s="116">
        <f>EDisponible!E54</f>
        <v>0.58694748195320789</v>
      </c>
      <c r="AF41" s="116">
        <f t="shared" si="37"/>
        <v>-0.21305251804679215</v>
      </c>
      <c r="AG41" s="116">
        <f>IF(AF41&lt;0, 0, 0.00035*(10*AF41/((1/COS(M$1))-0.8))^(3/(1+1/(DATOS!E$6))))</f>
        <v>0</v>
      </c>
      <c r="AH41" s="116">
        <f t="shared" si="38"/>
        <v>101836.10863819846</v>
      </c>
      <c r="AI41" s="116">
        <f t="shared" si="39"/>
        <v>8588817.476646645</v>
      </c>
      <c r="AJ41" s="116">
        <f t="shared" si="12"/>
        <v>0.39352082509496</v>
      </c>
      <c r="AK41" s="116">
        <f t="shared" si="13"/>
        <v>2.2851558392575556E-2</v>
      </c>
      <c r="AL41" s="116">
        <f t="shared" si="14"/>
        <v>98133.932045382127</v>
      </c>
      <c r="AM41" s="116">
        <f>EDisponible!F54</f>
        <v>0.5983217951982176</v>
      </c>
      <c r="AN41" s="116">
        <f t="shared" si="40"/>
        <v>-0.20167820480178245</v>
      </c>
      <c r="AO41" s="116">
        <f>IF(AN41&lt;0, 0, 0.00035*(10*AN41/((1/COS(M$1))-0.8))^(3/(1+1/(DATOS!E$6))))</f>
        <v>0</v>
      </c>
      <c r="AP41" s="116">
        <f t="shared" si="41"/>
        <v>98133.932045382127</v>
      </c>
      <c r="AQ41" s="116">
        <f t="shared" si="42"/>
        <v>7248400.6835312881</v>
      </c>
      <c r="AR41" s="116">
        <f t="shared" si="15"/>
        <v>0.46629300552868791</v>
      </c>
      <c r="AS41" s="116">
        <f t="shared" si="16"/>
        <v>2.6781326006220768E-2</v>
      </c>
      <c r="AT41" s="116">
        <f t="shared" si="17"/>
        <v>97060.890864682442</v>
      </c>
      <c r="AU41" s="116">
        <f>EDisponible!G54</f>
        <v>0.61038407737955491</v>
      </c>
      <c r="AV41" s="116">
        <f t="shared" si="43"/>
        <v>-0.18961592262044513</v>
      </c>
      <c r="AW41" s="116">
        <f>IF(AV41&lt;0, 0, 0.00035*(10*AV41/((1/COS(M$1))-0.8))^(3/(1+1/(DATOS!E$6))))</f>
        <v>0</v>
      </c>
      <c r="AX41" s="116">
        <f t="shared" si="18"/>
        <v>97060.890864682442</v>
      </c>
      <c r="AY41" s="116">
        <f t="shared" si="44"/>
        <v>6074221.4596339092</v>
      </c>
      <c r="AZ41" s="116">
        <f t="shared" si="19"/>
        <v>0.5564299165680574</v>
      </c>
      <c r="BA41" s="116">
        <f t="shared" si="20"/>
        <v>3.2571048064913066E-2</v>
      </c>
      <c r="BB41" s="116">
        <f t="shared" si="21"/>
        <v>98921.879559331224</v>
      </c>
      <c r="BC41" s="116">
        <f>EDisponible!H54</f>
        <v>0.62320660015814444</v>
      </c>
      <c r="BD41" s="116">
        <f t="shared" si="45"/>
        <v>-0.1767933998418556</v>
      </c>
      <c r="BE41" s="116">
        <f>IF(BD41&lt;0, 0, 0.00035*(10*BD41/((1/COS(M$1))-0.8))^(3/(1+1/(DATOS!E$6))))</f>
        <v>0</v>
      </c>
      <c r="BF41" s="116">
        <f t="shared" si="22"/>
        <v>98921.879559331224</v>
      </c>
      <c r="BG41" s="116">
        <f t="shared" si="46"/>
        <v>5051419.1894296044</v>
      </c>
      <c r="BH41" s="116">
        <f t="shared" si="23"/>
        <v>0.66909484508286254</v>
      </c>
      <c r="BI41" s="116">
        <f t="shared" si="24"/>
        <v>4.1242820865001695E-2</v>
      </c>
      <c r="BJ41" s="116">
        <f t="shared" si="25"/>
        <v>104167.38837183862</v>
      </c>
      <c r="BK41" s="116">
        <f>EDisponible!I54</f>
        <v>0.6368727313810405</v>
      </c>
      <c r="BL41" s="116">
        <f t="shared" si="47"/>
        <v>-0.16312726861895954</v>
      </c>
      <c r="BM41" s="116">
        <f>IF(BL41&lt;0, 0, 0.00035*(10*BL41/((1/COS(M$1))-0.8))^(3/(1+1/(DATOS!E$6))))</f>
        <v>0</v>
      </c>
      <c r="BN41" s="116">
        <f t="shared" si="26"/>
        <v>104167.38837183862</v>
      </c>
    </row>
    <row r="42" spans="1:66">
      <c r="A42" s="41">
        <f>EDisponible!A55</f>
        <v>195</v>
      </c>
      <c r="B42" s="44"/>
      <c r="C42" s="116">
        <f t="shared" si="0"/>
        <v>16787354.294486374</v>
      </c>
      <c r="D42" s="116">
        <f t="shared" si="1"/>
        <v>0.20133479526968015</v>
      </c>
      <c r="E42" s="116">
        <f t="shared" si="2"/>
        <v>1.5671459278073493E-2</v>
      </c>
      <c r="F42" s="116">
        <f t="shared" si="3"/>
        <v>131541.16960631768</v>
      </c>
      <c r="G42" s="116">
        <f>EDisponible!B55</f>
        <v>0.57100112969416872</v>
      </c>
      <c r="H42" s="116">
        <f t="shared" si="27"/>
        <v>-0.22899887030583133</v>
      </c>
      <c r="I42" s="116">
        <f>IF(H42&lt;0, 0, 0.00035*(10*H42/((1/COS(M$1))-0.8))^(3/(1+1/(DATOS!E$6))))</f>
        <v>0</v>
      </c>
      <c r="J42" s="116">
        <f t="shared" si="28"/>
        <v>131541.16960631768</v>
      </c>
      <c r="K42" s="116">
        <f t="shared" si="29"/>
        <v>14501988.264017709</v>
      </c>
      <c r="L42" s="11">
        <f t="shared" si="4"/>
        <v>0.23306311372393984</v>
      </c>
      <c r="M42" s="116">
        <f t="shared" si="5"/>
        <v>1.6537088356113012E-2</v>
      </c>
      <c r="N42" s="116">
        <f t="shared" si="6"/>
        <v>119910.3306306874</v>
      </c>
      <c r="O42" s="116">
        <f>EDisponible!C55</f>
        <v>0.58091376041494436</v>
      </c>
      <c r="P42" s="116">
        <f t="shared" si="30"/>
        <v>-0.21908623958505569</v>
      </c>
      <c r="Q42" s="116">
        <f>IF(P42&lt;0, 0, 0.00035*(10*P42/((1/COS(M$1))-0.8))^(3/(1+1/(DATOS!E$6))))</f>
        <v>0</v>
      </c>
      <c r="R42" s="116">
        <f t="shared" si="31"/>
        <v>119910.3306306874</v>
      </c>
      <c r="S42" s="116">
        <f t="shared" si="32"/>
        <v>12462624.085373413</v>
      </c>
      <c r="T42" s="116">
        <f t="shared" si="7"/>
        <v>0.27120119461572689</v>
      </c>
      <c r="U42" s="116">
        <f t="shared" si="8"/>
        <v>1.7744941462008137E-2</v>
      </c>
      <c r="V42" s="116">
        <f t="shared" si="9"/>
        <v>110574.26742898196</v>
      </c>
      <c r="W42" s="116">
        <f>EDisponible!D55</f>
        <v>0.59136124152811842</v>
      </c>
      <c r="X42" s="116">
        <f t="shared" si="33"/>
        <v>-0.20863875847188162</v>
      </c>
      <c r="Y42" s="116">
        <f>IF(X42&lt;0, 0, 0.00035*(10*X42/((1/COS(M$1))-0.8))^(3/(1+1/(DATOS!E$6))))</f>
        <v>0</v>
      </c>
      <c r="Z42" s="116">
        <f t="shared" si="34"/>
        <v>110574.26742898196</v>
      </c>
      <c r="AA42" s="116">
        <f t="shared" si="35"/>
        <v>10650277.293253101</v>
      </c>
      <c r="AB42" s="116">
        <f t="shared" si="10"/>
        <v>0.31735122447385822</v>
      </c>
      <c r="AC42" s="116">
        <f t="shared" si="11"/>
        <v>1.9450843901460534E-2</v>
      </c>
      <c r="AD42" s="116">
        <f t="shared" si="36"/>
        <v>103578.44056916784</v>
      </c>
      <c r="AE42" s="116">
        <f>EDisponible!E55</f>
        <v>0.60239346832039764</v>
      </c>
      <c r="AF42" s="116">
        <f t="shared" si="37"/>
        <v>-0.1976065316796024</v>
      </c>
      <c r="AG42" s="116">
        <f>IF(AF42&lt;0, 0, 0.00035*(10*AF42/((1/COS(M$1))-0.8))^(3/(1+1/(DATOS!E$6))))</f>
        <v>0</v>
      </c>
      <c r="AH42" s="116">
        <f t="shared" si="38"/>
        <v>103578.44056916784</v>
      </c>
      <c r="AI42" s="116">
        <f t="shared" si="39"/>
        <v>9046808.436273925</v>
      </c>
      <c r="AJ42" s="116">
        <f t="shared" si="12"/>
        <v>0.37359899502769378</v>
      </c>
      <c r="AK42" s="116">
        <f t="shared" si="13"/>
        <v>2.1891739067400259E-2</v>
      </c>
      <c r="AL42" s="116">
        <f t="shared" si="14"/>
        <v>99025.184839832073</v>
      </c>
      <c r="AM42" s="116">
        <f>EDisponible!F55</f>
        <v>0.61406710559817068</v>
      </c>
      <c r="AN42" s="116">
        <f t="shared" si="40"/>
        <v>-0.18593289440182936</v>
      </c>
      <c r="AO42" s="116">
        <f>IF(AN42&lt;0, 0, 0.00035*(10*AN42/((1/COS(M$1))-0.8))^(3/(1+1/(DATOS!E$6))))</f>
        <v>0</v>
      </c>
      <c r="AP42" s="116">
        <f t="shared" si="41"/>
        <v>99025.184839832073</v>
      </c>
      <c r="AQ42" s="116">
        <f t="shared" si="42"/>
        <v>7634915.1244121119</v>
      </c>
      <c r="AR42" s="116">
        <f t="shared" si="15"/>
        <v>0.44268711373006264</v>
      </c>
      <c r="AS42" s="116">
        <f t="shared" si="16"/>
        <v>2.5433692340833952E-2</v>
      </c>
      <c r="AT42" s="116">
        <f t="shared" si="17"/>
        <v>97092.041161338813</v>
      </c>
      <c r="AU42" s="116">
        <f>EDisponible!G55</f>
        <v>0.62644681625796428</v>
      </c>
      <c r="AV42" s="116">
        <f t="shared" si="43"/>
        <v>-0.17355318374203577</v>
      </c>
      <c r="AW42" s="116">
        <f>IF(AV42&lt;0, 0, 0.00035*(10*AV42/((1/COS(M$1))-0.8))^(3/(1+1/(DATOS!E$6))))</f>
        <v>0</v>
      </c>
      <c r="AX42" s="116">
        <f t="shared" si="18"/>
        <v>97092.041161338813</v>
      </c>
      <c r="AY42" s="116">
        <f t="shared" si="44"/>
        <v>6398123.8504869631</v>
      </c>
      <c r="AZ42" s="116">
        <f t="shared" si="19"/>
        <v>0.5282608806865714</v>
      </c>
      <c r="BA42" s="116">
        <f t="shared" si="20"/>
        <v>3.0652047982742889E-2</v>
      </c>
      <c r="BB42" s="116">
        <f t="shared" si="21"/>
        <v>98057.799632329043</v>
      </c>
      <c r="BC42" s="116">
        <f>EDisponible!H55</f>
        <v>0.63960677384651665</v>
      </c>
      <c r="BD42" s="116">
        <f t="shared" si="45"/>
        <v>-0.16039322615348339</v>
      </c>
      <c r="BE42" s="116">
        <f>IF(BD42&lt;0, 0, 0.00035*(10*BD42/((1/COS(M$1))-0.8))^(3/(1+1/(DATOS!E$6))))</f>
        <v>0</v>
      </c>
      <c r="BF42" s="116">
        <f t="shared" si="22"/>
        <v>98057.799632329043</v>
      </c>
      <c r="BG42" s="116">
        <f t="shared" si="46"/>
        <v>5320781.5700293817</v>
      </c>
      <c r="BH42" s="116">
        <f t="shared" si="23"/>
        <v>0.63522219349089648</v>
      </c>
      <c r="BI42" s="116">
        <f t="shared" si="24"/>
        <v>3.8468035357949598E-2</v>
      </c>
      <c r="BJ42" s="116">
        <f t="shared" si="25"/>
        <v>102340.00678390841</v>
      </c>
      <c r="BK42" s="116">
        <f>EDisponible!I55</f>
        <v>0.65363254010159411</v>
      </c>
      <c r="BL42" s="116">
        <f t="shared" si="47"/>
        <v>-0.14636745989840594</v>
      </c>
      <c r="BM42" s="116">
        <f>IF(BL42&lt;0, 0, 0.00035*(10*BL42/((1/COS(M$1))-0.8))^(3/(1+1/(DATOS!E$6))))</f>
        <v>0</v>
      </c>
      <c r="BN42" s="116">
        <f t="shared" si="26"/>
        <v>102340.00678390841</v>
      </c>
    </row>
    <row r="43" spans="1:66">
      <c r="A43" s="41">
        <f>EDisponible!A56</f>
        <v>200</v>
      </c>
      <c r="B43" s="44"/>
      <c r="C43" s="116">
        <f t="shared" si="0"/>
        <v>17659281.309124388</v>
      </c>
      <c r="D43" s="116">
        <f t="shared" si="1"/>
        <v>0.19139388975323973</v>
      </c>
      <c r="E43" s="116">
        <f t="shared" si="2"/>
        <v>1.5426262011570034E-2</v>
      </c>
      <c r="F43" s="116">
        <f t="shared" si="3"/>
        <v>136208.35020528713</v>
      </c>
      <c r="G43" s="116">
        <f>EDisponible!B56</f>
        <v>0.58564218430171155</v>
      </c>
      <c r="H43" s="116">
        <f t="shared" si="27"/>
        <v>-0.21435781569828849</v>
      </c>
      <c r="I43" s="116">
        <f>IF(H43&lt;0, 0, 0.00035*(10*H43/((1/COS(M$1))-0.8))^(3/(1+1/(DATOS!E$6))))</f>
        <v>0</v>
      </c>
      <c r="J43" s="116">
        <f t="shared" si="28"/>
        <v>136208.35020528713</v>
      </c>
      <c r="K43" s="116">
        <f t="shared" si="29"/>
        <v>15255214.478914091</v>
      </c>
      <c r="L43" s="11">
        <f t="shared" si="4"/>
        <v>0.22155562248382032</v>
      </c>
      <c r="M43" s="116">
        <f t="shared" si="5"/>
        <v>1.6208520527167231E-2</v>
      </c>
      <c r="N43" s="116">
        <f t="shared" si="6"/>
        <v>123632.22851390889</v>
      </c>
      <c r="O43" s="116">
        <f>EDisponible!C56</f>
        <v>0.59580898504096858</v>
      </c>
      <c r="P43" s="116">
        <f t="shared" si="30"/>
        <v>-0.20419101495903147</v>
      </c>
      <c r="Q43" s="116">
        <f>IF(P43&lt;0, 0, 0.00035*(10*P43/((1/COS(M$1))-0.8))^(3/(1+1/(DATOS!E$6))))</f>
        <v>0</v>
      </c>
      <c r="R43" s="116">
        <f t="shared" si="31"/>
        <v>123632.22851390889</v>
      </c>
      <c r="S43" s="116">
        <f t="shared" si="32"/>
        <v>13109926.717026601</v>
      </c>
      <c r="T43" s="116">
        <f t="shared" si="7"/>
        <v>0.25781063563157536</v>
      </c>
      <c r="U43" s="116">
        <f t="shared" si="8"/>
        <v>1.7300042752618448E-2</v>
      </c>
      <c r="V43" s="116">
        <f t="shared" si="9"/>
        <v>113401.1463441275</v>
      </c>
      <c r="W43" s="116">
        <f>EDisponible!D56</f>
        <v>0.60652435028524965</v>
      </c>
      <c r="X43" s="116">
        <f t="shared" si="33"/>
        <v>-0.1934756497147504</v>
      </c>
      <c r="Y43" s="116">
        <f>IF(X43&lt;0, 0, 0.00035*(10*X43/((1/COS(M$1))-0.8))^(3/(1+1/(DATOS!E$6))))</f>
        <v>0</v>
      </c>
      <c r="Z43" s="116">
        <f t="shared" si="34"/>
        <v>113401.1463441275</v>
      </c>
      <c r="AA43" s="116">
        <f t="shared" si="35"/>
        <v>11203447.514270192</v>
      </c>
      <c r="AB43" s="116">
        <f t="shared" si="10"/>
        <v>0.30168200776546145</v>
      </c>
      <c r="AC43" s="116">
        <f t="shared" si="11"/>
        <v>1.8841646129739226E-2</v>
      </c>
      <c r="AD43" s="116">
        <f t="shared" si="36"/>
        <v>105545.69674849276</v>
      </c>
      <c r="AE43" s="116">
        <f>EDisponible!E56</f>
        <v>0.61783945468758728</v>
      </c>
      <c r="AF43" s="116">
        <f t="shared" si="37"/>
        <v>-0.18216054531241277</v>
      </c>
      <c r="AG43" s="116">
        <f>IF(AF43&lt;0, 0, 0.00035*(10*AF43/((1/COS(M$1))-0.8))^(3/(1+1/(DATOS!E$6))))</f>
        <v>0</v>
      </c>
      <c r="AH43" s="116">
        <f t="shared" si="38"/>
        <v>105545.69674849276</v>
      </c>
      <c r="AI43" s="116">
        <f t="shared" si="39"/>
        <v>9516695.2649824321</v>
      </c>
      <c r="AJ43" s="116">
        <f t="shared" si="12"/>
        <v>0.3551525446482014</v>
      </c>
      <c r="AK43" s="116">
        <f t="shared" si="13"/>
        <v>2.104745353348406E-2</v>
      </c>
      <c r="AL43" s="116">
        <f t="shared" si="14"/>
        <v>100151.10069102276</v>
      </c>
      <c r="AM43" s="116">
        <f>EDisponible!F56</f>
        <v>0.62981241599812376</v>
      </c>
      <c r="AN43" s="116">
        <f t="shared" si="40"/>
        <v>-0.17018758400187628</v>
      </c>
      <c r="AO43" s="116">
        <f>IF(AN43&lt;0, 0, 0.00035*(10*AN43/((1/COS(M$1))-0.8))^(3/(1+1/(DATOS!E$6))))</f>
        <v>0</v>
      </c>
      <c r="AP43" s="116">
        <f t="shared" si="41"/>
        <v>100151.10069102276</v>
      </c>
      <c r="AQ43" s="116">
        <f t="shared" si="42"/>
        <v>8031468.9014197094</v>
      </c>
      <c r="AR43" s="116">
        <f t="shared" si="15"/>
        <v>0.42082943748964086</v>
      </c>
      <c r="AS43" s="116">
        <f t="shared" si="16"/>
        <v>2.424827381584567E-2</v>
      </c>
      <c r="AT43" s="116">
        <f t="shared" si="17"/>
        <v>97374.628532537157</v>
      </c>
      <c r="AU43" s="116">
        <f>EDisponible!G56</f>
        <v>0.64250955513637353</v>
      </c>
      <c r="AV43" s="116">
        <f t="shared" si="43"/>
        <v>-0.15749044486362651</v>
      </c>
      <c r="AW43" s="116">
        <f>IF(AV43&lt;0, 0, 0.00035*(10*AV43/((1/COS(M$1))-0.8))^(3/(1+1/(DATOS!E$6))))</f>
        <v>0</v>
      </c>
      <c r="AX43" s="116">
        <f t="shared" si="18"/>
        <v>97374.628532537157</v>
      </c>
      <c r="AY43" s="116">
        <f t="shared" si="44"/>
        <v>6730439.2904530838</v>
      </c>
      <c r="AZ43" s="116">
        <f t="shared" si="19"/>
        <v>0.50217799970267185</v>
      </c>
      <c r="BA43" s="116">
        <f t="shared" si="20"/>
        <v>2.8964038618413415E-2</v>
      </c>
      <c r="BB43" s="116">
        <f t="shared" si="21"/>
        <v>97470.351763785045</v>
      </c>
      <c r="BC43" s="116">
        <f>EDisponible!H56</f>
        <v>0.65600694753488886</v>
      </c>
      <c r="BD43" s="116">
        <f t="shared" si="45"/>
        <v>-0.14399305246511118</v>
      </c>
      <c r="BE43" s="116">
        <f>IF(BD43&lt;0, 0, 0.00035*(10*BD43/((1/COS(M$1))-0.8))^(3/(1+1/(DATOS!E$6))))</f>
        <v>0</v>
      </c>
      <c r="BF43" s="116">
        <f t="shared" si="22"/>
        <v>97470.351763785045</v>
      </c>
      <c r="BG43" s="116">
        <f t="shared" si="46"/>
        <v>5597140.3760992847</v>
      </c>
      <c r="BH43" s="116">
        <f t="shared" si="23"/>
        <v>0.60385809768728338</v>
      </c>
      <c r="BI43" s="116">
        <f t="shared" si="24"/>
        <v>3.6027251762665594E-2</v>
      </c>
      <c r="BJ43" s="116">
        <f t="shared" si="25"/>
        <v>100824.79274035485</v>
      </c>
      <c r="BK43" s="116">
        <f>EDisponible!I56</f>
        <v>0.67039234882214782</v>
      </c>
      <c r="BL43" s="116">
        <f t="shared" si="47"/>
        <v>-0.12960765117785222</v>
      </c>
      <c r="BM43" s="116">
        <f>IF(BL43&lt;0, 0, 0.00035*(10*BL43/((1/COS(M$1))-0.8))^(3/(1+1/(DATOS!E$6))))</f>
        <v>0</v>
      </c>
      <c r="BN43" s="116">
        <f t="shared" si="26"/>
        <v>100824.79274035485</v>
      </c>
    </row>
    <row r="44" spans="1:66">
      <c r="A44" s="41">
        <f>EDisponible!A57</f>
        <v>205</v>
      </c>
      <c r="B44" s="44"/>
      <c r="C44" s="116">
        <f t="shared" si="0"/>
        <v>18553282.425398808</v>
      </c>
      <c r="D44" s="116">
        <f t="shared" si="1"/>
        <v>0.18217145961046019</v>
      </c>
      <c r="E44" s="116">
        <f t="shared" si="2"/>
        <v>1.5209886048034364E-2</v>
      </c>
      <c r="F44" s="116">
        <f t="shared" si="3"/>
        <v>141096.65575365725</v>
      </c>
      <c r="G44" s="116">
        <f>EDisponible!B57</f>
        <v>0.60028323890925428</v>
      </c>
      <c r="H44" s="116">
        <f t="shared" si="27"/>
        <v>-0.19971676109074576</v>
      </c>
      <c r="I44" s="116">
        <f>IF(H44&lt;0, 0, 0.00035*(10*H44/((1/COS(M$1))-0.8))^(3/(1+1/(DATOS!E$6))))</f>
        <v>0</v>
      </c>
      <c r="J44" s="116">
        <f t="shared" si="28"/>
        <v>141096.65575365725</v>
      </c>
      <c r="K44" s="116">
        <f t="shared" si="29"/>
        <v>16027509.711909117</v>
      </c>
      <c r="L44" s="11">
        <f t="shared" si="4"/>
        <v>0.21087983103754462</v>
      </c>
      <c r="M44" s="116">
        <f t="shared" si="5"/>
        <v>1.5918573654639744E-2</v>
      </c>
      <c r="N44" s="116">
        <f t="shared" si="6"/>
        <v>127567.54692473955</v>
      </c>
      <c r="O44" s="116">
        <f>EDisponible!C57</f>
        <v>0.61070420966699279</v>
      </c>
      <c r="P44" s="116">
        <f t="shared" si="30"/>
        <v>-0.18929579033300725</v>
      </c>
      <c r="Q44" s="116">
        <f>IF(P44&lt;0, 0, 0.00035*(10*P44/((1/COS(M$1))-0.8))^(3/(1+1/(DATOS!E$6))))</f>
        <v>0</v>
      </c>
      <c r="R44" s="116">
        <f t="shared" si="31"/>
        <v>127567.54692473955</v>
      </c>
      <c r="S44" s="116">
        <f t="shared" si="32"/>
        <v>13773616.757076073</v>
      </c>
      <c r="T44" s="116">
        <f t="shared" si="7"/>
        <v>0.24538787448573501</v>
      </c>
      <c r="U44" s="116">
        <f t="shared" si="8"/>
        <v>1.6907438918600536E-2</v>
      </c>
      <c r="V44" s="116">
        <f t="shared" si="9"/>
        <v>116438.29200423826</v>
      </c>
      <c r="W44" s="116">
        <f>EDisponible!D57</f>
        <v>0.62168745904238087</v>
      </c>
      <c r="X44" s="116">
        <f t="shared" si="33"/>
        <v>-0.17831254095761917</v>
      </c>
      <c r="Y44" s="116">
        <f>IF(X44&lt;0, 0, 0.00035*(10*X44/((1/COS(M$1))-0.8))^(3/(1+1/(DATOS!E$6))))</f>
        <v>0</v>
      </c>
      <c r="Z44" s="116">
        <f t="shared" si="34"/>
        <v>116438.29200423826</v>
      </c>
      <c r="AA44" s="116">
        <f t="shared" si="35"/>
        <v>11770622.04468012</v>
      </c>
      <c r="AB44" s="116">
        <f t="shared" si="10"/>
        <v>0.28714527806349693</v>
      </c>
      <c r="AC44" s="116">
        <f t="shared" si="11"/>
        <v>1.8304055492128584E-2</v>
      </c>
      <c r="AD44" s="116">
        <f t="shared" si="36"/>
        <v>107725.05954134847</v>
      </c>
      <c r="AE44" s="116">
        <f>EDisponible!E57</f>
        <v>0.63328544105477702</v>
      </c>
      <c r="AF44" s="116">
        <f t="shared" si="37"/>
        <v>-0.16671455894522302</v>
      </c>
      <c r="AG44" s="116">
        <f>IF(AF44&lt;0, 0, 0.00035*(10*AF44/((1/COS(M$1))-0.8))^(3/(1+1/(DATOS!E$6))))</f>
        <v>0</v>
      </c>
      <c r="AH44" s="116">
        <f t="shared" si="38"/>
        <v>107725.05954134847</v>
      </c>
      <c r="AI44" s="116">
        <f t="shared" si="39"/>
        <v>9998477.9627721682</v>
      </c>
      <c r="AJ44" s="116">
        <f t="shared" si="12"/>
        <v>0.33803930484064376</v>
      </c>
      <c r="AK44" s="116">
        <f t="shared" si="13"/>
        <v>2.0302408131855288E-2</v>
      </c>
      <c r="AL44" s="116">
        <f t="shared" si="14"/>
        <v>101496.59014878079</v>
      </c>
      <c r="AM44" s="116">
        <f>EDisponible!F57</f>
        <v>0.64555772639807685</v>
      </c>
      <c r="AN44" s="116">
        <f t="shared" si="40"/>
        <v>-0.1544422736019232</v>
      </c>
      <c r="AO44" s="116">
        <f>IF(AN44&lt;0, 0, 0.00035*(10*AN44/((1/COS(M$1))-0.8))^(3/(1+1/(DATOS!E$6))))</f>
        <v>0</v>
      </c>
      <c r="AP44" s="116">
        <f t="shared" si="41"/>
        <v>101496.59014878079</v>
      </c>
      <c r="AQ44" s="116">
        <f t="shared" si="42"/>
        <v>8438062.0145540833</v>
      </c>
      <c r="AR44" s="116">
        <f t="shared" si="15"/>
        <v>0.40055151694433389</v>
      </c>
      <c r="AS44" s="116">
        <f t="shared" si="16"/>
        <v>2.3202193330548921E-2</v>
      </c>
      <c r="AT44" s="116">
        <f t="shared" si="17"/>
        <v>97890.773098422476</v>
      </c>
      <c r="AU44" s="116">
        <f>EDisponible!G57</f>
        <v>0.6585722940147829</v>
      </c>
      <c r="AV44" s="116">
        <f t="shared" si="43"/>
        <v>-0.14142770598521714</v>
      </c>
      <c r="AW44" s="116">
        <f>IF(AV44&lt;0, 0, 0.00035*(10*AV44/((1/COS(M$1))-0.8))^(3/(1+1/(DATOS!E$6))))</f>
        <v>0</v>
      </c>
      <c r="AX44" s="116">
        <f t="shared" si="18"/>
        <v>97890.773098422476</v>
      </c>
      <c r="AY44" s="116">
        <f t="shared" si="44"/>
        <v>7071167.7795322714</v>
      </c>
      <c r="AZ44" s="116">
        <f t="shared" si="19"/>
        <v>0.47798024956827784</v>
      </c>
      <c r="BA44" s="116">
        <f t="shared" si="20"/>
        <v>2.7474443494159166E-2</v>
      </c>
      <c r="BB44" s="116">
        <f t="shared" si="21"/>
        <v>97138.199798239162</v>
      </c>
      <c r="BC44" s="116">
        <f>EDisponible!H57</f>
        <v>0.67240712122326107</v>
      </c>
      <c r="BD44" s="116">
        <f t="shared" si="45"/>
        <v>-0.12759287877673897</v>
      </c>
      <c r="BE44" s="116">
        <f>IF(BD44&lt;0, 0, 0.00035*(10*BD44/((1/COS(M$1))-0.8))^(3/(1+1/(DATOS!E$6))))</f>
        <v>0</v>
      </c>
      <c r="BF44" s="116">
        <f t="shared" si="22"/>
        <v>97138.199798239162</v>
      </c>
      <c r="BG44" s="116">
        <f t="shared" si="46"/>
        <v>5880495.60763931</v>
      </c>
      <c r="BH44" s="116">
        <f t="shared" si="23"/>
        <v>0.57476083063631977</v>
      </c>
      <c r="BI44" s="116">
        <f t="shared" si="24"/>
        <v>3.3873365996552537E-2</v>
      </c>
      <c r="BJ44" s="116">
        <f t="shared" si="25"/>
        <v>99596.089979342971</v>
      </c>
      <c r="BK44" s="116">
        <f>EDisponible!I57</f>
        <v>0.68715215754270154</v>
      </c>
      <c r="BL44" s="116">
        <f t="shared" si="47"/>
        <v>-0.11284784245729851</v>
      </c>
      <c r="BM44" s="116">
        <f>IF(BL44&lt;0, 0, 0.00035*(10*BL44/((1/COS(M$1))-0.8))^(3/(1+1/(DATOS!E$6))))</f>
        <v>0</v>
      </c>
      <c r="BN44" s="116">
        <f t="shared" si="26"/>
        <v>99596.089979342971</v>
      </c>
    </row>
    <row r="45" spans="1:66">
      <c r="A45" s="41">
        <f>EDisponible!A58</f>
        <v>210</v>
      </c>
      <c r="B45" s="44"/>
      <c r="C45" s="116">
        <f t="shared" si="0"/>
        <v>19469357.643309638</v>
      </c>
      <c r="D45" s="116">
        <f t="shared" si="1"/>
        <v>0.17359990000293854</v>
      </c>
      <c r="E45" s="116">
        <f t="shared" si="2"/>
        <v>1.5018359982175829E-2</v>
      </c>
      <c r="F45" s="116">
        <f t="shared" si="3"/>
        <v>146198.91085447528</v>
      </c>
      <c r="G45" s="116">
        <f>EDisponible!B58</f>
        <v>0.61492429351679712</v>
      </c>
      <c r="H45" s="116">
        <f t="shared" si="27"/>
        <v>-0.18507570648320293</v>
      </c>
      <c r="I45" s="116">
        <f>IF(H45&lt;0, 0, 0.00035*(10*H45/((1/COS(M$1))-0.8))^(3/(1+1/(DATOS!E$6))))</f>
        <v>0</v>
      </c>
      <c r="J45" s="116">
        <f t="shared" si="28"/>
        <v>146198.91085447528</v>
      </c>
      <c r="K45" s="116">
        <f t="shared" si="29"/>
        <v>16818873.963002786</v>
      </c>
      <c r="L45" s="11">
        <f t="shared" si="4"/>
        <v>0.20095748071094813</v>
      </c>
      <c r="M45" s="116">
        <f t="shared" si="5"/>
        <v>1.5661925998884666E-2</v>
      </c>
      <c r="N45" s="116">
        <f t="shared" si="6"/>
        <v>131707.97969655885</v>
      </c>
      <c r="O45" s="116">
        <f>EDisponible!C58</f>
        <v>0.62559943429301701</v>
      </c>
      <c r="P45" s="116">
        <f t="shared" si="30"/>
        <v>-0.17440056570698304</v>
      </c>
      <c r="Q45" s="116">
        <f>IF(P45&lt;0, 0, 0.00035*(10*P45/((1/COS(M$1))-0.8))^(3/(1+1/(DATOS!E$6))))</f>
        <v>0</v>
      </c>
      <c r="R45" s="116">
        <f t="shared" si="31"/>
        <v>131707.97969655885</v>
      </c>
      <c r="S45" s="116">
        <f t="shared" si="32"/>
        <v>14453694.205521828</v>
      </c>
      <c r="T45" s="116">
        <f t="shared" si="7"/>
        <v>0.23384184637784614</v>
      </c>
      <c r="U45" s="116">
        <f t="shared" si="8"/>
        <v>1.6559924035053727E-2</v>
      </c>
      <c r="V45" s="116">
        <f t="shared" si="9"/>
        <v>119676.03903466885</v>
      </c>
      <c r="W45" s="116">
        <f>EDisponible!D58</f>
        <v>0.6368505677995121</v>
      </c>
      <c r="X45" s="116">
        <f t="shared" si="33"/>
        <v>-0.16314943220048794</v>
      </c>
      <c r="Y45" s="116">
        <f>IF(X45&lt;0, 0, 0.00035*(10*X45/((1/COS(M$1))-0.8))^(3/(1+1/(DATOS!E$6))))</f>
        <v>0</v>
      </c>
      <c r="Z45" s="116">
        <f t="shared" si="34"/>
        <v>119676.03903466885</v>
      </c>
      <c r="AA45" s="116">
        <f t="shared" si="35"/>
        <v>12351800.884482887</v>
      </c>
      <c r="AB45" s="116">
        <f t="shared" si="10"/>
        <v>0.27363447416368386</v>
      </c>
      <c r="AC45" s="116">
        <f t="shared" si="11"/>
        <v>1.7828204948558513E-2</v>
      </c>
      <c r="AD45" s="116">
        <f t="shared" si="36"/>
        <v>110105.21882617362</v>
      </c>
      <c r="AE45" s="116">
        <f>EDisponible!E58</f>
        <v>0.64873142742196666</v>
      </c>
      <c r="AF45" s="116">
        <f t="shared" si="37"/>
        <v>-0.15126857257803339</v>
      </c>
      <c r="AG45" s="116">
        <f>IF(AF45&lt;0, 0, 0.00035*(10*AF45/((1/COS(M$1))-0.8))^(3/(1+1/(DATOS!E$6))))</f>
        <v>0</v>
      </c>
      <c r="AH45" s="116">
        <f t="shared" si="38"/>
        <v>110105.21882617362</v>
      </c>
      <c r="AI45" s="116">
        <f t="shared" si="39"/>
        <v>10492156.529643131</v>
      </c>
      <c r="AJ45" s="116">
        <f t="shared" si="12"/>
        <v>0.32213382734530738</v>
      </c>
      <c r="AK45" s="116">
        <f t="shared" si="13"/>
        <v>1.9642928158533642E-2</v>
      </c>
      <c r="AL45" s="116">
        <f t="shared" si="14"/>
        <v>103048.33846993484</v>
      </c>
      <c r="AM45" s="116">
        <f>EDisponible!F58</f>
        <v>0.66130303679803004</v>
      </c>
      <c r="AN45" s="116">
        <f t="shared" si="40"/>
        <v>-0.13869696320197</v>
      </c>
      <c r="AO45" s="116">
        <f>IF(AN45&lt;0, 0, 0.00035*(10*AN45/((1/COS(M$1))-0.8))^(3/(1+1/(DATOS!E$6))))</f>
        <v>0</v>
      </c>
      <c r="AP45" s="116">
        <f t="shared" si="41"/>
        <v>103048.33846993484</v>
      </c>
      <c r="AQ45" s="116">
        <f t="shared" si="42"/>
        <v>8854694.4638152309</v>
      </c>
      <c r="AR45" s="116">
        <f t="shared" si="15"/>
        <v>0.3817047052060234</v>
      </c>
      <c r="AS45" s="116">
        <f t="shared" si="16"/>
        <v>2.2276250926196589E-2</v>
      </c>
      <c r="AT45" s="116">
        <f t="shared" si="17"/>
        <v>98624.697875375918</v>
      </c>
      <c r="AU45" s="116">
        <f>EDisponible!G58</f>
        <v>0.67463503289319227</v>
      </c>
      <c r="AV45" s="116">
        <f t="shared" si="43"/>
        <v>-0.12536496710680778</v>
      </c>
      <c r="AW45" s="116">
        <f>IF(AV45&lt;0, 0, 0.00035*(10*AV45/((1/COS(M$1))-0.8))^(3/(1+1/(DATOS!E$6))))</f>
        <v>0</v>
      </c>
      <c r="AX45" s="116">
        <f t="shared" si="18"/>
        <v>98624.697875375918</v>
      </c>
      <c r="AY45" s="116">
        <f t="shared" si="44"/>
        <v>7420309.3177245259</v>
      </c>
      <c r="AZ45" s="116">
        <f t="shared" si="19"/>
        <v>0.45549024916342118</v>
      </c>
      <c r="BA45" s="116">
        <f t="shared" si="20"/>
        <v>2.6155922299805526E-2</v>
      </c>
      <c r="BB45" s="116">
        <f t="shared" si="21"/>
        <v>97042.51697746283</v>
      </c>
      <c r="BC45" s="116">
        <f>EDisponible!H58</f>
        <v>0.68880729491163328</v>
      </c>
      <c r="BD45" s="116">
        <f t="shared" si="45"/>
        <v>-0.11119270508836676</v>
      </c>
      <c r="BE45" s="116">
        <f>IF(BD45&lt;0, 0, 0.00035*(10*BD45/((1/COS(M$1))-0.8))^(3/(1+1/(DATOS!E$6))))</f>
        <v>0</v>
      </c>
      <c r="BF45" s="116">
        <f t="shared" si="22"/>
        <v>97042.51697746283</v>
      </c>
      <c r="BG45" s="116">
        <f t="shared" si="46"/>
        <v>6170847.2646494601</v>
      </c>
      <c r="BH45" s="116">
        <f t="shared" si="23"/>
        <v>0.54771709540796687</v>
      </c>
      <c r="BI45" s="116">
        <f t="shared" si="24"/>
        <v>3.1966845233564349E-2</v>
      </c>
      <c r="BJ45" s="116">
        <f t="shared" si="25"/>
        <v>98631.259734506602</v>
      </c>
      <c r="BK45" s="116">
        <f>EDisponible!I58</f>
        <v>0.70391196626325525</v>
      </c>
      <c r="BL45" s="116">
        <f t="shared" si="47"/>
        <v>-9.6088033736744793E-2</v>
      </c>
      <c r="BM45" s="116">
        <f>IF(BL45&lt;0, 0, 0.00035*(10*BL45/((1/COS(M$1))-0.8))^(3/(1+1/(DATOS!E$6))))</f>
        <v>0</v>
      </c>
      <c r="BN45" s="116">
        <f t="shared" si="26"/>
        <v>98631.259734506602</v>
      </c>
    </row>
    <row r="46" spans="1:66">
      <c r="A46" s="41">
        <f>EDisponible!A59</f>
        <v>215</v>
      </c>
      <c r="B46" s="44"/>
      <c r="C46" s="116">
        <f t="shared" si="0"/>
        <v>20407506.96285687</v>
      </c>
      <c r="D46" s="116">
        <f t="shared" si="1"/>
        <v>0.16561937458365797</v>
      </c>
      <c r="E46" s="116">
        <f t="shared" si="2"/>
        <v>1.4848336439474828E-2</v>
      </c>
      <c r="F46" s="116">
        <f t="shared" si="3"/>
        <v>151508.76463771198</v>
      </c>
      <c r="G46" s="116">
        <f>EDisponible!B59</f>
        <v>0.62956534812433995</v>
      </c>
      <c r="H46" s="116">
        <f t="shared" si="27"/>
        <v>-0.17043465187566009</v>
      </c>
      <c r="I46" s="116">
        <f>IF(H46&lt;0, 0, 0.00035*(10*H46/((1/COS(M$1))-0.8))^(3/(1+1/(DATOS!E$6))))</f>
        <v>0</v>
      </c>
      <c r="J46" s="116">
        <f t="shared" si="28"/>
        <v>151508.76463771198</v>
      </c>
      <c r="K46" s="116">
        <f t="shared" si="29"/>
        <v>17629307.232195094</v>
      </c>
      <c r="L46" s="11">
        <f t="shared" si="4"/>
        <v>0.1917193055565779</v>
      </c>
      <c r="M46" s="116">
        <f t="shared" si="5"/>
        <v>1.5434092030376089E-2</v>
      </c>
      <c r="N46" s="116">
        <f t="shared" si="6"/>
        <v>136046.17512673693</v>
      </c>
      <c r="O46" s="116">
        <f>EDisponible!C59</f>
        <v>0.64049465891904123</v>
      </c>
      <c r="P46" s="116">
        <f t="shared" si="30"/>
        <v>-0.15950534108095882</v>
      </c>
      <c r="Q46" s="116">
        <f>IF(P46&lt;0, 0, 0.00035*(10*P46/((1/COS(M$1))-0.8))^(3/(1+1/(DATOS!E$6))))</f>
        <v>0</v>
      </c>
      <c r="R46" s="116">
        <f t="shared" si="31"/>
        <v>136046.17512673693</v>
      </c>
      <c r="S46" s="116">
        <f t="shared" si="32"/>
        <v>15150159.062363867</v>
      </c>
      <c r="T46" s="116">
        <f t="shared" si="7"/>
        <v>0.22309195078989755</v>
      </c>
      <c r="U46" s="116">
        <f t="shared" si="8"/>
        <v>1.6251424451056647E-2</v>
      </c>
      <c r="V46" s="116">
        <f t="shared" si="9"/>
        <v>123105.83271174879</v>
      </c>
      <c r="W46" s="116">
        <f>EDisponible!D59</f>
        <v>0.65201367655664333</v>
      </c>
      <c r="X46" s="116">
        <f t="shared" si="33"/>
        <v>-0.14798632344335672</v>
      </c>
      <c r="Y46" s="116">
        <f>IF(X46&lt;0, 0, 0.00035*(10*X46/((1/COS(M$1))-0.8))^(3/(1+1/(DATOS!E$6))))</f>
        <v>0</v>
      </c>
      <c r="Z46" s="116">
        <f t="shared" si="34"/>
        <v>123105.83271174879</v>
      </c>
      <c r="AA46" s="116">
        <f t="shared" si="35"/>
        <v>12946984.033678491</v>
      </c>
      <c r="AB46" s="116">
        <f t="shared" si="10"/>
        <v>0.26105527984031279</v>
      </c>
      <c r="AC46" s="116">
        <f t="shared" si="11"/>
        <v>1.7405777876549736E-2</v>
      </c>
      <c r="AD46" s="116">
        <f t="shared" si="36"/>
        <v>112676.16413072187</v>
      </c>
      <c r="AE46" s="116">
        <f>EDisponible!E59</f>
        <v>0.6641774137891564</v>
      </c>
      <c r="AF46" s="116">
        <f t="shared" si="37"/>
        <v>-0.13582258621084364</v>
      </c>
      <c r="AG46" s="116">
        <f>IF(AF46&lt;0, 0, 0.00035*(10*AF46/((1/COS(M$1))-0.8))^(3/(1+1/(DATOS!E$6))))</f>
        <v>0</v>
      </c>
      <c r="AH46" s="116">
        <f t="shared" si="38"/>
        <v>112676.16413072187</v>
      </c>
      <c r="AI46" s="116">
        <f t="shared" si="39"/>
        <v>10997730.965595324</v>
      </c>
      <c r="AJ46" s="116">
        <f t="shared" si="12"/>
        <v>0.30732507919801094</v>
      </c>
      <c r="AK46" s="116">
        <f t="shared" si="13"/>
        <v>1.9057487629058519E-2</v>
      </c>
      <c r="AL46" s="116">
        <f t="shared" si="14"/>
        <v>104794.56091227334</v>
      </c>
      <c r="AM46" s="116">
        <f>EDisponible!F59</f>
        <v>0.67704834719798312</v>
      </c>
      <c r="AN46" s="116">
        <f t="shared" si="40"/>
        <v>-0.12295165280201692</v>
      </c>
      <c r="AO46" s="116">
        <f>IF(AN46&lt;0, 0, 0.00035*(10*AN46/((1/COS(M$1))-0.8))^(3/(1+1/(DATOS!E$6))))</f>
        <v>0</v>
      </c>
      <c r="AP46" s="116">
        <f t="shared" si="41"/>
        <v>104794.56091227334</v>
      </c>
      <c r="AQ46" s="116">
        <f t="shared" si="42"/>
        <v>9281366.2492031511</v>
      </c>
      <c r="AR46" s="116">
        <f t="shared" si="15"/>
        <v>0.36415743644317222</v>
      </c>
      <c r="AS46" s="116">
        <f t="shared" si="16"/>
        <v>2.1454263552209859E-2</v>
      </c>
      <c r="AT46" s="116">
        <f t="shared" si="17"/>
        <v>99562.438817494942</v>
      </c>
      <c r="AU46" s="116">
        <f>EDisponible!G59</f>
        <v>0.69069777177160163</v>
      </c>
      <c r="AV46" s="116">
        <f t="shared" si="43"/>
        <v>-0.10930222822839841</v>
      </c>
      <c r="AW46" s="116">
        <f>IF(AV46&lt;0, 0, 0.00035*(10*AV46/((1/COS(M$1))-0.8))^(3/(1+1/(DATOS!E$6))))</f>
        <v>0</v>
      </c>
      <c r="AX46" s="116">
        <f t="shared" si="18"/>
        <v>99562.438817494942</v>
      </c>
      <c r="AY46" s="116">
        <f t="shared" si="44"/>
        <v>7777863.9050298454</v>
      </c>
      <c r="AZ46" s="116">
        <f t="shared" si="19"/>
        <v>0.43455100028354515</v>
      </c>
      <c r="BA46" s="116">
        <f t="shared" si="20"/>
        <v>2.4985430734673367E-2</v>
      </c>
      <c r="BB46" s="116">
        <f t="shared" si="21"/>
        <v>97166.639931419661</v>
      </c>
      <c r="BC46" s="116">
        <f>EDisponible!H59</f>
        <v>0.70520746860000549</v>
      </c>
      <c r="BD46" s="116">
        <f t="shared" si="45"/>
        <v>-9.4792531399994551E-2</v>
      </c>
      <c r="BE46" s="116">
        <f>IF(BD46&lt;0, 0, 0.00035*(10*BD46/((1/COS(M$1))-0.8))^(3/(1+1/(DATOS!E$6))))</f>
        <v>0</v>
      </c>
      <c r="BF46" s="116">
        <f t="shared" si="22"/>
        <v>97166.639931419661</v>
      </c>
      <c r="BG46" s="116">
        <f t="shared" si="46"/>
        <v>6468195.3471297352</v>
      </c>
      <c r="BH46" s="116">
        <f t="shared" si="23"/>
        <v>0.52253810508364174</v>
      </c>
      <c r="BI46" s="116">
        <f t="shared" si="24"/>
        <v>3.027436847901286E-2</v>
      </c>
      <c r="BJ46" s="116">
        <f t="shared" si="25"/>
        <v>97910.264666621049</v>
      </c>
      <c r="BK46" s="116">
        <f>EDisponible!I59</f>
        <v>0.72067177498380897</v>
      </c>
      <c r="BL46" s="116">
        <f t="shared" si="47"/>
        <v>-7.9328225016191078E-2</v>
      </c>
      <c r="BM46" s="116">
        <f>IF(BL46&lt;0, 0, 0.00035*(10*BL46/((1/COS(M$1))-0.8))^(3/(1+1/(DATOS!E$6))))</f>
        <v>0</v>
      </c>
      <c r="BN46" s="116">
        <f t="shared" si="26"/>
        <v>97910.264666621049</v>
      </c>
    </row>
    <row r="47" spans="1:66">
      <c r="A47" s="41">
        <f>EDisponible!A60</f>
        <v>220</v>
      </c>
      <c r="B47" s="44"/>
      <c r="C47" s="116">
        <f t="shared" si="0"/>
        <v>21367730.384040508</v>
      </c>
      <c r="D47" s="116">
        <f t="shared" si="1"/>
        <v>0.15817676839110723</v>
      </c>
      <c r="E47" s="116">
        <f t="shared" si="2"/>
        <v>1.4696982487248033E-2</v>
      </c>
      <c r="F47" s="116">
        <f t="shared" si="3"/>
        <v>157020.57962324051</v>
      </c>
      <c r="G47" s="116">
        <f>EDisponible!B60</f>
        <v>0.64420640273188268</v>
      </c>
      <c r="H47" s="116">
        <f t="shared" si="27"/>
        <v>-0.15579359726811737</v>
      </c>
      <c r="I47" s="116">
        <f>IF(H47&lt;0, 0, 0.00035*(10*H47/((1/COS(M$1))-0.8))^(3/(1+1/(DATOS!E$6))))</f>
        <v>0</v>
      </c>
      <c r="J47" s="116">
        <f t="shared" si="28"/>
        <v>157020.57962324051</v>
      </c>
      <c r="K47" s="116">
        <f t="shared" si="29"/>
        <v>18458809.519486047</v>
      </c>
      <c r="L47" s="11">
        <f t="shared" si="4"/>
        <v>0.18310382023456229</v>
      </c>
      <c r="M47" s="116">
        <f t="shared" si="5"/>
        <v>1.5231275578974825E-2</v>
      </c>
      <c r="N47" s="116">
        <f t="shared" si="6"/>
        <v>140575.60732554793</v>
      </c>
      <c r="O47" s="116">
        <f>EDisponible!C60</f>
        <v>0.65538988354506544</v>
      </c>
      <c r="P47" s="116">
        <f t="shared" si="30"/>
        <v>-0.1446101164549346</v>
      </c>
      <c r="Q47" s="116">
        <f>IF(P47&lt;0, 0, 0.00035*(10*P47/((1/COS(M$1))-0.8))^(3/(1+1/(DATOS!E$6))))</f>
        <v>0</v>
      </c>
      <c r="R47" s="116">
        <f t="shared" si="31"/>
        <v>140575.60732554793</v>
      </c>
      <c r="S47" s="116">
        <f t="shared" si="32"/>
        <v>15863011.327602187</v>
      </c>
      <c r="T47" s="116">
        <f t="shared" si="7"/>
        <v>0.21306664101783088</v>
      </c>
      <c r="U47" s="116">
        <f t="shared" si="8"/>
        <v>1.5976799945788031E-2</v>
      </c>
      <c r="V47" s="116">
        <f t="shared" si="9"/>
        <v>126720.07925943477</v>
      </c>
      <c r="W47" s="116">
        <f>EDisponible!D60</f>
        <v>0.66717678531377467</v>
      </c>
      <c r="X47" s="116">
        <f t="shared" si="33"/>
        <v>-0.13282321468622538</v>
      </c>
      <c r="Y47" s="116">
        <f>IF(X47&lt;0, 0, 0.00035*(10*X47/((1/COS(M$1))-0.8))^(3/(1+1/(DATOS!E$6))))</f>
        <v>0</v>
      </c>
      <c r="Z47" s="116">
        <f t="shared" si="34"/>
        <v>126720.07925943477</v>
      </c>
      <c r="AA47" s="116">
        <f t="shared" si="35"/>
        <v>13556171.492266933</v>
      </c>
      <c r="AB47" s="116">
        <f t="shared" si="10"/>
        <v>0.24932397335988551</v>
      </c>
      <c r="AC47" s="116">
        <f t="shared" si="11"/>
        <v>1.7029735795197759E-2</v>
      </c>
      <c r="AD47" s="116">
        <f t="shared" si="36"/>
        <v>115429.0094538488</v>
      </c>
      <c r="AE47" s="116">
        <f>EDisponible!E60</f>
        <v>0.67962340015634604</v>
      </c>
      <c r="AF47" s="116">
        <f t="shared" si="37"/>
        <v>-0.12037659984365401</v>
      </c>
      <c r="AG47" s="116">
        <f>IF(AF47&lt;0, 0, 0.00035*(10*AF47/((1/COS(M$1))-0.8))^(3/(1+1/(DATOS!E$6))))</f>
        <v>0</v>
      </c>
      <c r="AH47" s="116">
        <f t="shared" si="38"/>
        <v>115429.0094538488</v>
      </c>
      <c r="AI47" s="116">
        <f t="shared" si="39"/>
        <v>11515201.270628743</v>
      </c>
      <c r="AJ47" s="116">
        <f t="shared" si="12"/>
        <v>0.29351449970925736</v>
      </c>
      <c r="AK47" s="116">
        <f t="shared" si="13"/>
        <v>1.8536331931899373E-2</v>
      </c>
      <c r="AL47" s="116">
        <f t="shared" si="14"/>
        <v>106724.7965075019</v>
      </c>
      <c r="AM47" s="116">
        <f>EDisponible!F60</f>
        <v>0.69279365759793621</v>
      </c>
      <c r="AN47" s="116">
        <f t="shared" si="40"/>
        <v>-0.10720634240206384</v>
      </c>
      <c r="AO47" s="116">
        <f>IF(AN47&lt;0, 0, 0.00035*(10*AN47/((1/COS(M$1))-0.8))^(3/(1+1/(DATOS!E$6))))</f>
        <v>0</v>
      </c>
      <c r="AP47" s="116">
        <f t="shared" si="41"/>
        <v>106724.7965075019</v>
      </c>
      <c r="AQ47" s="116">
        <f t="shared" si="42"/>
        <v>9718077.3707178477</v>
      </c>
      <c r="AR47" s="116">
        <f t="shared" si="15"/>
        <v>0.34779292354515773</v>
      </c>
      <c r="AS47" s="116">
        <f t="shared" si="16"/>
        <v>2.0722535252957777E-2</v>
      </c>
      <c r="AT47" s="116">
        <f t="shared" si="17"/>
        <v>100691.6004528359</v>
      </c>
      <c r="AU47" s="116">
        <f>EDisponible!G60</f>
        <v>0.70676051065001089</v>
      </c>
      <c r="AV47" s="116">
        <f t="shared" si="43"/>
        <v>-9.3239489349989157E-2</v>
      </c>
      <c r="AW47" s="116">
        <f>IF(AV47&lt;0, 0, 0.00035*(10*AV47/((1/COS(M$1))-0.8))^(3/(1+1/(DATOS!E$6))))</f>
        <v>0</v>
      </c>
      <c r="AX47" s="116">
        <f t="shared" si="18"/>
        <v>100691.6004528359</v>
      </c>
      <c r="AY47" s="116">
        <f t="shared" si="44"/>
        <v>8143831.5414482327</v>
      </c>
      <c r="AZ47" s="116">
        <f t="shared" si="19"/>
        <v>0.41502314025014203</v>
      </c>
      <c r="BA47" s="116">
        <f t="shared" si="20"/>
        <v>2.3943466065448553E-2</v>
      </c>
      <c r="BB47" s="116">
        <f t="shared" si="21"/>
        <v>97495.777077697669</v>
      </c>
      <c r="BC47" s="116">
        <f>EDisponible!H60</f>
        <v>0.7216076422883777</v>
      </c>
      <c r="BD47" s="116">
        <f t="shared" si="45"/>
        <v>-7.839235771162234E-2</v>
      </c>
      <c r="BE47" s="116">
        <f>IF(BD47&lt;0, 0, 0.00035*(10*BD47/((1/COS(M$1))-0.8))^(3/(1+1/(DATOS!E$6))))</f>
        <v>0</v>
      </c>
      <c r="BF47" s="116">
        <f t="shared" si="22"/>
        <v>97495.777077697669</v>
      </c>
      <c r="BG47" s="116">
        <f t="shared" si="46"/>
        <v>6772539.8550801342</v>
      </c>
      <c r="BH47" s="116">
        <f t="shared" si="23"/>
        <v>0.49905627908039951</v>
      </c>
      <c r="BI47" s="116">
        <f t="shared" si="24"/>
        <v>2.8767735681084219E-2</v>
      </c>
      <c r="BJ47" s="116">
        <f t="shared" si="25"/>
        <v>97415.318220276866</v>
      </c>
      <c r="BK47" s="116">
        <f>EDisponible!I60</f>
        <v>0.73743158370436268</v>
      </c>
      <c r="BL47" s="116">
        <f t="shared" si="47"/>
        <v>-6.2568416295637364E-2</v>
      </c>
      <c r="BM47" s="116">
        <f>IF(BL47&lt;0, 0, 0.00035*(10*BL47/((1/COS(M$1))-0.8))^(3/(1+1/(DATOS!E$6))))</f>
        <v>0</v>
      </c>
      <c r="BN47" s="116">
        <f t="shared" si="26"/>
        <v>97415.318220276866</v>
      </c>
    </row>
    <row r="48" spans="1:66">
      <c r="A48" s="41">
        <f>EDisponible!A61</f>
        <v>225</v>
      </c>
      <c r="B48" s="44"/>
      <c r="C48" s="116">
        <f t="shared" si="0"/>
        <v>22350027.906860553</v>
      </c>
      <c r="D48" s="116">
        <f t="shared" si="1"/>
        <v>0.15122480178033756</v>
      </c>
      <c r="E48" s="116">
        <f t="shared" si="2"/>
        <v>1.4561891229307563E-2</v>
      </c>
      <c r="F48" s="116">
        <f t="shared" si="3"/>
        <v>162729.33767584598</v>
      </c>
      <c r="G48" s="116">
        <f>EDisponible!B61</f>
        <v>0.65884745733942551</v>
      </c>
      <c r="H48" s="116">
        <f t="shared" si="27"/>
        <v>-0.14115254266057453</v>
      </c>
      <c r="I48" s="116">
        <f>IF(H48&lt;0, 0, 0.00035*(10*H48/((1/COS(M$1))-0.8))^(3/(1+1/(DATOS!E$6))))</f>
        <v>0</v>
      </c>
      <c r="J48" s="116">
        <f t="shared" si="28"/>
        <v>162729.33767584598</v>
      </c>
      <c r="K48" s="116">
        <f t="shared" si="29"/>
        <v>19307380.824875645</v>
      </c>
      <c r="L48" s="11">
        <f t="shared" si="4"/>
        <v>0.17505629430820371</v>
      </c>
      <c r="M48" s="116">
        <f t="shared" si="5"/>
        <v>1.5050251369512732E-2</v>
      </c>
      <c r="N48" s="116">
        <f t="shared" si="6"/>
        <v>145290.46735064426</v>
      </c>
      <c r="O48" s="116">
        <f>EDisponible!C61</f>
        <v>0.67028510817108966</v>
      </c>
      <c r="P48" s="116">
        <f t="shared" si="30"/>
        <v>-0.12971489182891038</v>
      </c>
      <c r="Q48" s="116">
        <f>IF(P48&lt;0, 0, 0.00035*(10*P48/((1/COS(M$1))-0.8))^(3/(1+1/(DATOS!E$6))))</f>
        <v>0</v>
      </c>
      <c r="R48" s="116">
        <f t="shared" si="31"/>
        <v>145290.46735064426</v>
      </c>
      <c r="S48" s="116">
        <f t="shared" si="32"/>
        <v>16592251.001236791</v>
      </c>
      <c r="T48" s="116">
        <f t="shared" si="7"/>
        <v>0.2037022306224793</v>
      </c>
      <c r="U48" s="116">
        <f t="shared" si="8"/>
        <v>1.5731683321265236E-2</v>
      </c>
      <c r="V48" s="116">
        <f t="shared" si="9"/>
        <v>130512.01916920162</v>
      </c>
      <c r="W48" s="116">
        <f>EDisponible!D61</f>
        <v>0.68233989407090589</v>
      </c>
      <c r="X48" s="116">
        <f t="shared" si="33"/>
        <v>-0.11766010592909415</v>
      </c>
      <c r="Y48" s="116">
        <f>IF(X48&lt;0, 0, 0.00035*(10*X48/((1/COS(M$1))-0.8))^(3/(1+1/(DATOS!E$6))))</f>
        <v>0</v>
      </c>
      <c r="Z48" s="116">
        <f t="shared" si="34"/>
        <v>130512.01916920162</v>
      </c>
      <c r="AA48" s="116">
        <f t="shared" si="35"/>
        <v>14179363.26024821</v>
      </c>
      <c r="AB48" s="116">
        <f t="shared" si="10"/>
        <v>0.23836603082703131</v>
      </c>
      <c r="AC48" s="116">
        <f t="shared" si="11"/>
        <v>1.6694098720242027E-2</v>
      </c>
      <c r="AD48" s="116">
        <f t="shared" si="36"/>
        <v>118355.84502837823</v>
      </c>
      <c r="AE48" s="116">
        <f>EDisponible!E61</f>
        <v>0.69506938652353578</v>
      </c>
      <c r="AF48" s="116">
        <f t="shared" si="37"/>
        <v>-0.10493061347646426</v>
      </c>
      <c r="AG48" s="116">
        <f>IF(AF48&lt;0, 0, 0.00035*(10*AF48/((1/COS(M$1))-0.8))^(3/(1+1/(DATOS!E$6))))</f>
        <v>0</v>
      </c>
      <c r="AH48" s="116">
        <f t="shared" si="38"/>
        <v>118355.84502837823</v>
      </c>
      <c r="AI48" s="116">
        <f t="shared" si="39"/>
        <v>12044567.444743389</v>
      </c>
      <c r="AJ48" s="116">
        <f t="shared" si="12"/>
        <v>0.28061435626524556</v>
      </c>
      <c r="AK48" s="116">
        <f t="shared" si="13"/>
        <v>1.8071173423143846E-2</v>
      </c>
      <c r="AL48" s="116">
        <f t="shared" si="14"/>
        <v>108829.73355035516</v>
      </c>
      <c r="AM48" s="116">
        <f>EDisponible!F61</f>
        <v>0.70853896799788929</v>
      </c>
      <c r="AN48" s="116">
        <f t="shared" si="40"/>
        <v>-9.1461032002110754E-2</v>
      </c>
      <c r="AO48" s="116">
        <f>IF(AN48&lt;0, 0, 0.00035*(10*AN48/((1/COS(M$1))-0.8))^(3/(1+1/(DATOS!E$6))))</f>
        <v>0</v>
      </c>
      <c r="AP48" s="116">
        <f t="shared" si="41"/>
        <v>108829.73355035516</v>
      </c>
      <c r="AQ48" s="116">
        <f t="shared" si="42"/>
        <v>10164827.828359321</v>
      </c>
      <c r="AR48" s="116">
        <f t="shared" si="15"/>
        <v>0.33250720986835819</v>
      </c>
      <c r="AS48" s="116">
        <f t="shared" si="16"/>
        <v>2.006942976768784E-2</v>
      </c>
      <c r="AT48" s="116">
        <f t="shared" si="17"/>
        <v>102001.14910094815</v>
      </c>
      <c r="AU48" s="116">
        <f>EDisponible!G61</f>
        <v>0.72282324952842025</v>
      </c>
      <c r="AV48" s="116">
        <f t="shared" si="43"/>
        <v>-7.7176750471579791E-2</v>
      </c>
      <c r="AW48" s="116">
        <f>IF(AV48&lt;0, 0, 0.00035*(10*AV48/((1/COS(M$1))-0.8))^(3/(1+1/(DATOS!E$6))))</f>
        <v>0</v>
      </c>
      <c r="AX48" s="116">
        <f t="shared" si="18"/>
        <v>102001.14910094815</v>
      </c>
      <c r="AY48" s="116">
        <f t="shared" si="44"/>
        <v>8518212.2269796841</v>
      </c>
      <c r="AZ48" s="116">
        <f t="shared" si="19"/>
        <v>0.39678261704902473</v>
      </c>
      <c r="BA48" s="116">
        <f t="shared" si="20"/>
        <v>2.301345851807917E-2</v>
      </c>
      <c r="BB48" s="116">
        <f t="shared" si="21"/>
        <v>98016.761866895875</v>
      </c>
      <c r="BC48" s="116">
        <f>EDisponible!H61</f>
        <v>0.73800781597675003</v>
      </c>
      <c r="BD48" s="116">
        <f t="shared" si="45"/>
        <v>-6.1992184023250019E-2</v>
      </c>
      <c r="BE48" s="116">
        <f>IF(BD48&lt;0, 0, 0.00035*(10*BD48/((1/COS(M$1))-0.8))^(3/(1+1/(DATOS!E$6))))</f>
        <v>0</v>
      </c>
      <c r="BF48" s="116">
        <f t="shared" si="22"/>
        <v>98016.761866895875</v>
      </c>
      <c r="BG48" s="116">
        <f t="shared" si="46"/>
        <v>7083880.7885006573</v>
      </c>
      <c r="BH48" s="116">
        <f t="shared" si="23"/>
        <v>0.47712244755538441</v>
      </c>
      <c r="BI48" s="116">
        <f t="shared" si="24"/>
        <v>2.7422987711625414E-2</v>
      </c>
      <c r="BJ48" s="116">
        <f t="shared" si="25"/>
        <v>97130.587906836445</v>
      </c>
      <c r="BK48" s="116">
        <f>EDisponible!I61</f>
        <v>0.75419139242491628</v>
      </c>
      <c r="BL48" s="116">
        <f t="shared" si="47"/>
        <v>-4.580860757508376E-2</v>
      </c>
      <c r="BM48" s="116">
        <f>IF(BL48&lt;0, 0, 0.00035*(10*BL48/((1/COS(M$1))-0.8))^(3/(1+1/(DATOS!E$6))))</f>
        <v>0</v>
      </c>
      <c r="BN48" s="116">
        <f t="shared" si="26"/>
        <v>97130.587906836445</v>
      </c>
    </row>
    <row r="49" spans="1:66">
      <c r="A49" s="41">
        <f>EDisponible!A62</f>
        <v>230</v>
      </c>
      <c r="B49" s="44"/>
      <c r="C49" s="116">
        <f t="shared" si="0"/>
        <v>23354399.531317003</v>
      </c>
      <c r="D49" s="116">
        <f t="shared" si="1"/>
        <v>0.14472127769621151</v>
      </c>
      <c r="E49" s="116">
        <f t="shared" si="2"/>
        <v>1.4441010130591804E-2</v>
      </c>
      <c r="F49" s="116">
        <f t="shared" si="3"/>
        <v>168630.56011281867</v>
      </c>
      <c r="G49" s="116">
        <f>EDisponible!B62</f>
        <v>0.67348851194696824</v>
      </c>
      <c r="H49" s="116">
        <f t="shared" si="27"/>
        <v>-0.12651148805303181</v>
      </c>
      <c r="I49" s="116">
        <f>IF(H49&lt;0, 0, 0.00035*(10*H49/((1/COS(M$1))-0.8))^(3/(1+1/(DATOS!E$6))))</f>
        <v>0</v>
      </c>
      <c r="J49" s="116">
        <f t="shared" si="28"/>
        <v>168630.56011281867</v>
      </c>
      <c r="K49" s="116">
        <f t="shared" si="29"/>
        <v>20175021.148363885</v>
      </c>
      <c r="L49" s="11">
        <f t="shared" si="4"/>
        <v>0.16752788089513823</v>
      </c>
      <c r="M49" s="116">
        <f t="shared" si="5"/>
        <v>1.4888268975777288E-2</v>
      </c>
      <c r="N49" s="116">
        <f t="shared" si="6"/>
        <v>150185.57072441836</v>
      </c>
      <c r="O49" s="116">
        <f>EDisponible!C62</f>
        <v>0.68518033279711377</v>
      </c>
      <c r="P49" s="116">
        <f t="shared" si="30"/>
        <v>-0.11481966720288628</v>
      </c>
      <c r="Q49" s="116">
        <f>IF(P49&lt;0, 0, 0.00035*(10*P49/((1/COS(M$1))-0.8))^(3/(1+1/(DATOS!E$6))))</f>
        <v>0</v>
      </c>
      <c r="R49" s="116">
        <f t="shared" si="31"/>
        <v>150185.57072441836</v>
      </c>
      <c r="S49" s="116">
        <f t="shared" si="32"/>
        <v>17337878.083267678</v>
      </c>
      <c r="T49" s="116">
        <f t="shared" si="7"/>
        <v>0.19494187949457498</v>
      </c>
      <c r="U49" s="116">
        <f t="shared" si="8"/>
        <v>1.5512350350815954E-2</v>
      </c>
      <c r="V49" s="116">
        <f t="shared" si="9"/>
        <v>134475.6195836908</v>
      </c>
      <c r="W49" s="116">
        <f>EDisponible!D62</f>
        <v>0.69750300282803712</v>
      </c>
      <c r="X49" s="116">
        <f t="shared" si="33"/>
        <v>-0.10249699717196292</v>
      </c>
      <c r="Y49" s="116">
        <f>IF(X49&lt;0, 0, 0.00035*(10*X49/((1/COS(M$1))-0.8))^(3/(1+1/(DATOS!E$6))))</f>
        <v>0</v>
      </c>
      <c r="Z49" s="116">
        <f t="shared" si="34"/>
        <v>134475.6195836908</v>
      </c>
      <c r="AA49" s="116">
        <f t="shared" si="35"/>
        <v>14816559.33762233</v>
      </c>
      <c r="AB49" s="116">
        <f t="shared" si="10"/>
        <v>0.22811493970923361</v>
      </c>
      <c r="AC49" s="116">
        <f t="shared" si="11"/>
        <v>1.6393767085101936E-2</v>
      </c>
      <c r="AD49" s="116">
        <f t="shared" si="36"/>
        <v>121449.61139178634</v>
      </c>
      <c r="AE49" s="116">
        <f>EDisponible!E62</f>
        <v>0.71051537289072542</v>
      </c>
      <c r="AF49" s="116">
        <f t="shared" si="37"/>
        <v>-8.9484627109274628E-2</v>
      </c>
      <c r="AG49" s="116">
        <f>IF(AF49&lt;0, 0, 0.00035*(10*AF49/((1/COS(M$1))-0.8))^(3/(1+1/(DATOS!E$6))))</f>
        <v>0</v>
      </c>
      <c r="AH49" s="116">
        <f t="shared" si="38"/>
        <v>121449.61139178634</v>
      </c>
      <c r="AI49" s="116">
        <f t="shared" si="39"/>
        <v>12585829.487939266</v>
      </c>
      <c r="AJ49" s="116">
        <f t="shared" si="12"/>
        <v>0.26854634756007667</v>
      </c>
      <c r="AK49" s="116">
        <f t="shared" si="13"/>
        <v>1.7654944627346188E-2</v>
      </c>
      <c r="AL49" s="116">
        <f t="shared" si="14"/>
        <v>111101.06134939428</v>
      </c>
      <c r="AM49" s="116">
        <f>EDisponible!F62</f>
        <v>0.72428427839784237</v>
      </c>
      <c r="AN49" s="116">
        <f t="shared" si="40"/>
        <v>-7.5715721602157671E-2</v>
      </c>
      <c r="AO49" s="116">
        <f>IF(AN49&lt;0, 0, 0.00035*(10*AN49/((1/COS(M$1))-0.8))^(3/(1+1/(DATOS!E$6))))</f>
        <v>0</v>
      </c>
      <c r="AP49" s="116">
        <f t="shared" si="41"/>
        <v>111101.06134939428</v>
      </c>
      <c r="AQ49" s="116">
        <f t="shared" si="42"/>
        <v>10621617.622127566</v>
      </c>
      <c r="AR49" s="116">
        <f t="shared" si="15"/>
        <v>0.31820751416986071</v>
      </c>
      <c r="AS49" s="116">
        <f t="shared" si="16"/>
        <v>1.9485024012346447E-2</v>
      </c>
      <c r="AT49" s="116">
        <f t="shared" si="17"/>
        <v>103481.2372085589</v>
      </c>
      <c r="AU49" s="116">
        <f>EDisponible!G62</f>
        <v>0.73888598840682962</v>
      </c>
      <c r="AV49" s="116">
        <f t="shared" si="43"/>
        <v>-6.1114011593170425E-2</v>
      </c>
      <c r="AW49" s="116">
        <f>IF(AV49&lt;0, 0, 0.00035*(10*AV49/((1/COS(M$1))-0.8))^(3/(1+1/(DATOS!E$6))))</f>
        <v>0</v>
      </c>
      <c r="AX49" s="116">
        <f t="shared" si="18"/>
        <v>103481.2372085589</v>
      </c>
      <c r="AY49" s="116">
        <f t="shared" si="44"/>
        <v>8901005.9616242032</v>
      </c>
      <c r="AZ49" s="116">
        <f t="shared" si="19"/>
        <v>0.37971871433094284</v>
      </c>
      <c r="BA49" s="116">
        <f t="shared" si="20"/>
        <v>2.2181277843667947E-2</v>
      </c>
      <c r="BB49" s="116">
        <f t="shared" si="21"/>
        <v>98717.843161465629</v>
      </c>
      <c r="BC49" s="116">
        <f>EDisponible!H62</f>
        <v>0.75440798966512224</v>
      </c>
      <c r="BD49" s="116">
        <f t="shared" si="45"/>
        <v>-4.5592010334877808E-2</v>
      </c>
      <c r="BE49" s="116">
        <f>IF(BD49&lt;0, 0, 0.00035*(10*BD49/((1/COS(M$1))-0.8))^(3/(1+1/(DATOS!E$6))))</f>
        <v>0</v>
      </c>
      <c r="BF49" s="116">
        <f t="shared" si="22"/>
        <v>98717.843161465629</v>
      </c>
      <c r="BG49" s="116">
        <f t="shared" si="46"/>
        <v>7402218.1473913034</v>
      </c>
      <c r="BH49" s="116">
        <f t="shared" si="23"/>
        <v>0.45660347651212357</v>
      </c>
      <c r="BI49" s="116">
        <f t="shared" si="24"/>
        <v>2.6219692883209505E-2</v>
      </c>
      <c r="BJ49" s="116">
        <f t="shared" si="25"/>
        <v>97041.943239560002</v>
      </c>
      <c r="BK49" s="116">
        <f>EDisponible!I62</f>
        <v>0.77095120114547</v>
      </c>
      <c r="BL49" s="116">
        <f t="shared" si="47"/>
        <v>-2.9048798854530045E-2</v>
      </c>
      <c r="BM49" s="116">
        <f>IF(BL49&lt;0, 0, 0.00035*(10*BL49/((1/COS(M$1))-0.8))^(3/(1+1/(DATOS!E$6))))</f>
        <v>0</v>
      </c>
      <c r="BN49" s="116">
        <f t="shared" si="26"/>
        <v>97041.943239560002</v>
      </c>
    </row>
    <row r="50" spans="1:66">
      <c r="A50" s="41">
        <f>EDisponible!A63</f>
        <v>235</v>
      </c>
      <c r="B50" s="44"/>
      <c r="C50" s="116">
        <f t="shared" si="0"/>
        <v>24380845.257409856</v>
      </c>
      <c r="D50" s="116">
        <f t="shared" si="1"/>
        <v>0.13862843983937692</v>
      </c>
      <c r="E50" s="116">
        <f t="shared" si="2"/>
        <v>1.4332582626790097E-2</v>
      </c>
      <c r="F50" s="116">
        <f t="shared" si="3"/>
        <v>174720.23958140513</v>
      </c>
      <c r="G50" s="116">
        <f>EDisponible!B63</f>
        <v>0.68812956655451107</v>
      </c>
      <c r="H50" s="116">
        <f t="shared" si="27"/>
        <v>-0.11187043344548897</v>
      </c>
      <c r="I50" s="116">
        <f>IF(H50&lt;0, 0, 0.00035*(10*H50/((1/COS(M$1))-0.8))^(3/(1+1/(DATOS!E$6))))</f>
        <v>0</v>
      </c>
      <c r="J50" s="116">
        <f t="shared" si="28"/>
        <v>174720.23958140513</v>
      </c>
      <c r="K50" s="116">
        <f t="shared" si="29"/>
        <v>21061730.489950765</v>
      </c>
      <c r="L50" s="11">
        <f t="shared" si="4"/>
        <v>0.16047487368678703</v>
      </c>
      <c r="M50" s="116">
        <f t="shared" si="5"/>
        <v>1.4742974576577148E-2</v>
      </c>
      <c r="N50" s="116">
        <f t="shared" si="6"/>
        <v>155256.27857603194</v>
      </c>
      <c r="O50" s="116">
        <f>EDisponible!C63</f>
        <v>0.70007555742313798</v>
      </c>
      <c r="P50" s="116">
        <f t="shared" si="30"/>
        <v>-9.992444257686206E-2</v>
      </c>
      <c r="Q50" s="116">
        <f>IF(P50&lt;0, 0, 0.00035*(10*P50/((1/COS(M$1))-0.8))^(3/(1+1/(DATOS!E$6))))</f>
        <v>0</v>
      </c>
      <c r="R50" s="116">
        <f t="shared" si="31"/>
        <v>155256.27857603194</v>
      </c>
      <c r="S50" s="116">
        <f t="shared" si="32"/>
        <v>18099892.573694851</v>
      </c>
      <c r="T50" s="116">
        <f t="shared" si="7"/>
        <v>0.18673472929403376</v>
      </c>
      <c r="U50" s="116">
        <f t="shared" si="8"/>
        <v>1.5315613832535706E-2</v>
      </c>
      <c r="V50" s="116">
        <f t="shared" si="9"/>
        <v>138605.48253454559</v>
      </c>
      <c r="W50" s="116">
        <f>EDisponible!D63</f>
        <v>0.71266611158516835</v>
      </c>
      <c r="X50" s="116">
        <f t="shared" si="33"/>
        <v>-8.7333888414831695E-2</v>
      </c>
      <c r="Y50" s="116">
        <f>IF(X50&lt;0, 0, 0.00035*(10*X50/((1/COS(M$1))-0.8))^(3/(1+1/(DATOS!E$6))))</f>
        <v>0</v>
      </c>
      <c r="Z50" s="116">
        <f t="shared" si="34"/>
        <v>138605.48253454559</v>
      </c>
      <c r="AA50" s="116">
        <f t="shared" si="35"/>
        <v>15467759.724389283</v>
      </c>
      <c r="AB50" s="116">
        <f t="shared" si="10"/>
        <v>0.21851118715470275</v>
      </c>
      <c r="AC50" s="116">
        <f t="shared" si="11"/>
        <v>1.6124376668759877E-2</v>
      </c>
      <c r="AD50" s="116">
        <f t="shared" si="36"/>
        <v>124703.99200896313</v>
      </c>
      <c r="AE50" s="116">
        <f>EDisponible!E63</f>
        <v>0.72596135925791505</v>
      </c>
      <c r="AF50" s="116">
        <f t="shared" si="37"/>
        <v>-7.4038640742084993E-2</v>
      </c>
      <c r="AG50" s="116">
        <f>IF(AF50&lt;0, 0, 0.00035*(10*AF50/((1/COS(M$1))-0.8))^(3/(1+1/(DATOS!E$6))))</f>
        <v>0</v>
      </c>
      <c r="AH50" s="116">
        <f t="shared" si="38"/>
        <v>124703.99200896313</v>
      </c>
      <c r="AI50" s="116">
        <f t="shared" si="39"/>
        <v>13138987.400216369</v>
      </c>
      <c r="AJ50" s="116">
        <f t="shared" si="12"/>
        <v>0.25724041260168506</v>
      </c>
      <c r="AK50" s="116">
        <f t="shared" si="13"/>
        <v>1.7281597182475173E-2</v>
      </c>
      <c r="AL50" s="116">
        <f t="shared" si="14"/>
        <v>113531.34381807801</v>
      </c>
      <c r="AM50" s="116">
        <f>EDisponible!F63</f>
        <v>0.74002958879779546</v>
      </c>
      <c r="AN50" s="116">
        <f t="shared" si="40"/>
        <v>-5.9970411202204588E-2</v>
      </c>
      <c r="AO50" s="116">
        <f>IF(AN50&lt;0, 0, 0.00035*(10*AN50/((1/COS(M$1))-0.8))^(3/(1+1/(DATOS!E$6))))</f>
        <v>0</v>
      </c>
      <c r="AP50" s="116">
        <f t="shared" si="41"/>
        <v>113531.34381807801</v>
      </c>
      <c r="AQ50" s="116">
        <f t="shared" si="42"/>
        <v>11088446.752022587</v>
      </c>
      <c r="AR50" s="116">
        <f t="shared" si="15"/>
        <v>0.30481081936777971</v>
      </c>
      <c r="AS50" s="116">
        <f t="shared" si="16"/>
        <v>1.8960825788370869E-2</v>
      </c>
      <c r="AT50" s="116">
        <f t="shared" si="17"/>
        <v>105123.05356436354</v>
      </c>
      <c r="AU50" s="116">
        <f>EDisponible!G63</f>
        <v>0.75494872728523899</v>
      </c>
      <c r="AV50" s="116">
        <f t="shared" si="43"/>
        <v>-4.5051272714761059E-2</v>
      </c>
      <c r="AW50" s="116">
        <f>IF(AV50&lt;0, 0, 0.00035*(10*AV50/((1/COS(M$1))-0.8))^(3/(1+1/(DATOS!E$6))))</f>
        <v>0</v>
      </c>
      <c r="AX50" s="116">
        <f t="shared" si="18"/>
        <v>105123.05356436354</v>
      </c>
      <c r="AY50" s="116">
        <f t="shared" si="44"/>
        <v>9292212.7453817893</v>
      </c>
      <c r="AZ50" s="116">
        <f t="shared" si="19"/>
        <v>0.36373236737178588</v>
      </c>
      <c r="BA50" s="116">
        <f t="shared" si="20"/>
        <v>2.143483134213011E-2</v>
      </c>
      <c r="BB50" s="116">
        <f t="shared" si="21"/>
        <v>99588.506496225222</v>
      </c>
      <c r="BC50" s="116">
        <f>EDisponible!H63</f>
        <v>0.77080816335349445</v>
      </c>
      <c r="BD50" s="116">
        <f t="shared" si="45"/>
        <v>-2.9191836646505598E-2</v>
      </c>
      <c r="BE50" s="116">
        <f>IF(BD50&lt;0, 0, 0.00035*(10*BD50/((1/COS(M$1))-0.8))^(3/(1+1/(DATOS!E$6))))</f>
        <v>0</v>
      </c>
      <c r="BF50" s="116">
        <f t="shared" si="22"/>
        <v>99588.506496225222</v>
      </c>
      <c r="BG50" s="116">
        <f t="shared" si="46"/>
        <v>7727551.9317520745</v>
      </c>
      <c r="BH50" s="116">
        <f t="shared" si="23"/>
        <v>0.43738024277938137</v>
      </c>
      <c r="BI50" s="116">
        <f t="shared" si="24"/>
        <v>2.514036570990652E-2</v>
      </c>
      <c r="BJ50" s="116">
        <f t="shared" si="25"/>
        <v>97136.740803270877</v>
      </c>
      <c r="BK50" s="116">
        <f>EDisponible!I63</f>
        <v>0.78771100986602371</v>
      </c>
      <c r="BL50" s="116">
        <f t="shared" si="47"/>
        <v>-1.228899013397633E-2</v>
      </c>
      <c r="BM50" s="116">
        <f>IF(BL50&lt;0, 0, 0.00035*(10*BL50/((1/COS(M$1))-0.8))^(3/(1+1/(DATOS!E$6))))</f>
        <v>0</v>
      </c>
      <c r="BN50" s="116">
        <f t="shared" si="26"/>
        <v>97136.740803270877</v>
      </c>
    </row>
    <row r="51" spans="1:66">
      <c r="A51" s="41">
        <f>EDisponible!A64</f>
        <v>240</v>
      </c>
      <c r="B51" s="44"/>
      <c r="C51" s="116">
        <f t="shared" si="0"/>
        <v>25429365.085139118</v>
      </c>
      <c r="D51" s="116">
        <f t="shared" si="1"/>
        <v>0.13291242343974982</v>
      </c>
      <c r="E51" s="116">
        <f t="shared" si="2"/>
        <v>1.4235100338478057E-2</v>
      </c>
      <c r="F51" s="116">
        <f t="shared" si="3"/>
        <v>180994.78176537296</v>
      </c>
      <c r="G51" s="116">
        <f>EDisponible!B64</f>
        <v>0.7027706211620538</v>
      </c>
      <c r="H51" s="116">
        <f t="shared" si="27"/>
        <v>-9.7229378837946245E-2</v>
      </c>
      <c r="I51" s="116">
        <f>IF(H51&lt;0, 0, 0.00035*(10*H51/((1/COS(M$1))-0.8))^(3/(1+1/(DATOS!E$6))))</f>
        <v>0</v>
      </c>
      <c r="J51" s="116">
        <f t="shared" si="28"/>
        <v>180994.78176537296</v>
      </c>
      <c r="K51" s="116">
        <f t="shared" si="29"/>
        <v>21967508.84963629</v>
      </c>
      <c r="L51" s="116">
        <f t="shared" si="4"/>
        <v>0.15385807116931968</v>
      </c>
      <c r="M51" s="116">
        <f t="shared" si="5"/>
        <v>1.4612346922002939E-2</v>
      </c>
      <c r="N51" s="116">
        <f t="shared" si="6"/>
        <v>160498.43016152759</v>
      </c>
      <c r="O51" s="116">
        <f>EDisponible!C64</f>
        <v>0.7149707820491622</v>
      </c>
      <c r="P51" s="116">
        <f t="shared" si="30"/>
        <v>-8.5029217950837843E-2</v>
      </c>
      <c r="Q51" s="116">
        <f>IF(P51&lt;0, 0, 0.00035*(10*P51/((1/COS(M$1))-0.8))^(3/(1+1/(DATOS!E$6))))</f>
        <v>0</v>
      </c>
      <c r="R51" s="116">
        <f t="shared" si="31"/>
        <v>160498.43016152759</v>
      </c>
      <c r="S51" s="116">
        <f t="shared" si="32"/>
        <v>18878294.472518306</v>
      </c>
      <c r="T51" s="116">
        <f t="shared" si="7"/>
        <v>0.17903516363303845</v>
      </c>
      <c r="U51" s="116">
        <f t="shared" si="8"/>
        <v>1.5138736884122546E-2</v>
      </c>
      <c r="V51" s="116">
        <f t="shared" si="9"/>
        <v>142896.76642021982</v>
      </c>
      <c r="W51" s="116">
        <f>EDisponible!D64</f>
        <v>0.72782922034229958</v>
      </c>
      <c r="X51" s="116">
        <f t="shared" si="33"/>
        <v>-7.2170779657700468E-2</v>
      </c>
      <c r="Y51" s="116">
        <f>IF(X51&lt;0, 0, 0.00035*(10*X51/((1/COS(M$1))-0.8))^(3/(1+1/(DATOS!E$6))))</f>
        <v>0</v>
      </c>
      <c r="Z51" s="116">
        <f t="shared" si="34"/>
        <v>142896.76642021982</v>
      </c>
      <c r="AA51" s="116">
        <f t="shared" si="35"/>
        <v>16132964.420549076</v>
      </c>
      <c r="AB51" s="116">
        <f t="shared" si="10"/>
        <v>0.20950139428157047</v>
      </c>
      <c r="AC51" s="116">
        <f t="shared" si="11"/>
        <v>1.5882179870774157E-2</v>
      </c>
      <c r="AD51" s="116">
        <f t="shared" si="36"/>
        <v>128113.3213879801</v>
      </c>
      <c r="AE51" s="116">
        <f>EDisponible!E64</f>
        <v>0.7414073456251048</v>
      </c>
      <c r="AF51" s="116">
        <f t="shared" si="37"/>
        <v>-5.8592654374895248E-2</v>
      </c>
      <c r="AG51" s="116">
        <f>IF(AF51&lt;0, 0, 0.00035*(10*AF51/((1/COS(M$1))-0.8))^(3/(1+1/(DATOS!E$6))))</f>
        <v>0</v>
      </c>
      <c r="AH51" s="116">
        <f t="shared" si="38"/>
        <v>128113.3213879801</v>
      </c>
      <c r="AI51" s="116">
        <f t="shared" si="39"/>
        <v>13704041.181574702</v>
      </c>
      <c r="AJ51" s="116">
        <f t="shared" si="12"/>
        <v>0.24663371156125097</v>
      </c>
      <c r="AK51" s="116">
        <f t="shared" si="13"/>
        <v>1.6945937299277646E-2</v>
      </c>
      <c r="AL51" s="116">
        <f t="shared" si="14"/>
        <v>116113.91130484182</v>
      </c>
      <c r="AM51" s="116">
        <f>EDisponible!F64</f>
        <v>0.75577489919774854</v>
      </c>
      <c r="AN51" s="116">
        <f t="shared" si="40"/>
        <v>-4.4225100802251505E-2</v>
      </c>
      <c r="AO51" s="116">
        <f>IF(AN51&lt;0, 0, 0.00035*(10*AN51/((1/COS(M$1))-0.8))^(3/(1+1/(DATOS!E$6))))</f>
        <v>0</v>
      </c>
      <c r="AP51" s="116">
        <f t="shared" si="41"/>
        <v>116113.91130484182</v>
      </c>
      <c r="AQ51" s="116">
        <f t="shared" si="42"/>
        <v>11565315.218044382</v>
      </c>
      <c r="AR51" s="116">
        <f t="shared" si="15"/>
        <v>0.29224266492336171</v>
      </c>
      <c r="AS51" s="116">
        <f t="shared" si="16"/>
        <v>1.8489542759521478E-2</v>
      </c>
      <c r="AT51" s="116">
        <f t="shared" si="17"/>
        <v>106918.69512568803</v>
      </c>
      <c r="AU51" s="116">
        <f>EDisponible!G64</f>
        <v>0.77101146616364824</v>
      </c>
      <c r="AV51" s="116">
        <f t="shared" si="43"/>
        <v>-2.8988533836351804E-2</v>
      </c>
      <c r="AW51" s="116">
        <f>IF(AV51&lt;0, 0, 0.00035*(10*AV51/((1/COS(M$1))-0.8))^(3/(1+1/(DATOS!E$6))))</f>
        <v>0</v>
      </c>
      <c r="AX51" s="116">
        <f t="shared" si="18"/>
        <v>106918.69512568803</v>
      </c>
      <c r="AY51" s="116">
        <f t="shared" si="44"/>
        <v>9691832.5782524422</v>
      </c>
      <c r="AZ51" s="116">
        <f t="shared" si="19"/>
        <v>0.34873472201574435</v>
      </c>
      <c r="BA51" s="116">
        <f t="shared" si="20"/>
        <v>2.076373489038941E-2</v>
      </c>
      <c r="BB51" s="116">
        <f t="shared" si="21"/>
        <v>100619.3211284365</v>
      </c>
      <c r="BC51" s="116">
        <f>EDisponible!H64</f>
        <v>0.78720833704186666</v>
      </c>
      <c r="BD51" s="116">
        <f t="shared" si="45"/>
        <v>-1.2791662958133387E-2</v>
      </c>
      <c r="BE51" s="116">
        <f>IF(BD51&lt;0, 0, 0.00035*(10*BD51/((1/COS(M$1))-0.8))^(3/(1+1/(DATOS!E$6))))</f>
        <v>0</v>
      </c>
      <c r="BF51" s="116">
        <f t="shared" si="22"/>
        <v>100619.3211284365</v>
      </c>
      <c r="BG51" s="116">
        <f t="shared" si="46"/>
        <v>8059882.1415829686</v>
      </c>
      <c r="BH51" s="116">
        <f t="shared" si="23"/>
        <v>0.41934590117172466</v>
      </c>
      <c r="BI51" s="116">
        <f t="shared" si="24"/>
        <v>2.4169991229245597E-2</v>
      </c>
      <c r="BJ51" s="116">
        <f t="shared" si="25"/>
        <v>97403.640335406788</v>
      </c>
      <c r="BK51" s="116">
        <f>EDisponible!I64</f>
        <v>0.80447081858657743</v>
      </c>
      <c r="BL51" s="116">
        <f t="shared" si="47"/>
        <v>4.4708185865773853E-3</v>
      </c>
      <c r="BM51" s="116">
        <f>IF(BL51&lt;0, 0, 0.00035*(10*BL51/((1/COS(M$1))-0.8))^(3/(1+1/(DATOS!E$6))))</f>
        <v>6.1418034301039777E-6</v>
      </c>
      <c r="BN51" s="116">
        <f t="shared" si="26"/>
        <v>97428.391441298489</v>
      </c>
    </row>
    <row r="52" spans="1:66">
      <c r="A52" s="41">
        <f>EDisponible!A65</f>
        <v>245</v>
      </c>
      <c r="B52" s="44"/>
      <c r="C52" s="116">
        <f t="shared" si="0"/>
        <v>26499959.014504787</v>
      </c>
      <c r="D52" s="116">
        <f t="shared" si="1"/>
        <v>0.1275427836756283</v>
      </c>
      <c r="E52" s="116">
        <f t="shared" si="2"/>
        <v>1.414726379237595E-2</v>
      </c>
      <c r="F52" s="116">
        <f t="shared" si="3"/>
        <v>187450.9553326751</v>
      </c>
      <c r="G52" s="116">
        <f>EDisponible!B65</f>
        <v>0.71741167576959664</v>
      </c>
      <c r="H52" s="116">
        <f t="shared" si="27"/>
        <v>-8.2588324230403409E-2</v>
      </c>
      <c r="I52" s="116">
        <f>IF(H52&lt;0, 0, 0.00035*(10*H52/((1/COS(M$1))-0.8))^(3/(1+1/(DATOS!E$6))))</f>
        <v>0</v>
      </c>
      <c r="J52" s="116">
        <f t="shared" si="28"/>
        <v>187450.9553326751</v>
      </c>
      <c r="K52" s="116">
        <f t="shared" si="29"/>
        <v>22892356.227420457</v>
      </c>
      <c r="L52" s="11">
        <f t="shared" si="4"/>
        <v>0.14764223072641089</v>
      </c>
      <c r="M52" s="116">
        <f t="shared" si="5"/>
        <v>1.4494644699354148E-2</v>
      </c>
      <c r="N52" s="116">
        <f t="shared" si="6"/>
        <v>165908.28492375344</v>
      </c>
      <c r="O52" s="116">
        <f>EDisponible!C65</f>
        <v>0.72986600667518642</v>
      </c>
      <c r="P52" s="116">
        <f t="shared" si="30"/>
        <v>-7.0133993324813626E-2</v>
      </c>
      <c r="Q52" s="116">
        <f>IF(P52&lt;0, 0, 0.00035*(10*P52/((1/COS(M$1))-0.8))^(3/(1+1/(DATOS!E$6))))</f>
        <v>0</v>
      </c>
      <c r="R52" s="116">
        <f t="shared" si="31"/>
        <v>165908.28492375344</v>
      </c>
      <c r="S52" s="116">
        <f t="shared" si="32"/>
        <v>19673083.779738046</v>
      </c>
      <c r="T52" s="116">
        <f t="shared" si="7"/>
        <v>0.17180217284902979</v>
      </c>
      <c r="U52" s="116">
        <f t="shared" si="8"/>
        <v>1.4979361673479555E-2</v>
      </c>
      <c r="V52" s="116">
        <f t="shared" si="9"/>
        <v>147345.1185846802</v>
      </c>
      <c r="W52" s="116">
        <f>EDisponible!D65</f>
        <v>0.7429923290994308</v>
      </c>
      <c r="X52" s="116">
        <f t="shared" si="33"/>
        <v>-5.7007670900569241E-2</v>
      </c>
      <c r="Y52" s="116">
        <f>IF(X52&lt;0, 0, 0.00035*(10*X52/((1/COS(M$1))-0.8))^(3/(1+1/(DATOS!E$6))))</f>
        <v>0</v>
      </c>
      <c r="Z52" s="116">
        <f t="shared" si="34"/>
        <v>147345.1185846802</v>
      </c>
      <c r="AA52" s="116">
        <f t="shared" si="35"/>
        <v>16812173.426101707</v>
      </c>
      <c r="AB52" s="116">
        <f t="shared" si="10"/>
        <v>0.20103757285495141</v>
      </c>
      <c r="AC52" s="116">
        <f t="shared" si="11"/>
        <v>1.5663948122418416E-2</v>
      </c>
      <c r="AD52" s="116">
        <f t="shared" si="36"/>
        <v>131672.50618577932</v>
      </c>
      <c r="AE52" s="116">
        <f>EDisponible!E65</f>
        <v>0.75685333199229443</v>
      </c>
      <c r="AF52" s="116">
        <f t="shared" si="37"/>
        <v>-4.3146668007705613E-2</v>
      </c>
      <c r="AG52" s="116">
        <f>IF(AF52&lt;0, 0, 0.00035*(10*AF52/((1/COS(M$1))-0.8))^(3/(1+1/(DATOS!E$6))))</f>
        <v>0</v>
      </c>
      <c r="AH52" s="116">
        <f t="shared" si="38"/>
        <v>131672.50618577932</v>
      </c>
      <c r="AI52" s="116">
        <f t="shared" si="39"/>
        <v>14280990.832014261</v>
      </c>
      <c r="AJ52" s="116">
        <f t="shared" si="12"/>
        <v>0.23666975070267485</v>
      </c>
      <c r="AK52" s="116">
        <f t="shared" si="13"/>
        <v>1.6643490513142185E-2</v>
      </c>
      <c r="AL52" s="116">
        <f t="shared" si="14"/>
        <v>118842.76771544994</v>
      </c>
      <c r="AM52" s="116">
        <f>EDisponible!F65</f>
        <v>0.77152020959770162</v>
      </c>
      <c r="AN52" s="116">
        <f t="shared" si="40"/>
        <v>-2.8479790402298422E-2</v>
      </c>
      <c r="AO52" s="116">
        <f>IF(AN52&lt;0, 0, 0.00035*(10*AN52/((1/COS(M$1))-0.8))^(3/(1+1/(DATOS!E$6))))</f>
        <v>0</v>
      </c>
      <c r="AP52" s="116">
        <f t="shared" si="41"/>
        <v>118842.76771544994</v>
      </c>
      <c r="AQ52" s="116">
        <f t="shared" si="42"/>
        <v>12052223.020192953</v>
      </c>
      <c r="AR52" s="116">
        <f t="shared" si="15"/>
        <v>0.28043610994728252</v>
      </c>
      <c r="AS52" s="116">
        <f t="shared" si="16"/>
        <v>1.8064892556828638E-2</v>
      </c>
      <c r="AT52" s="116">
        <f t="shared" si="17"/>
        <v>108861.05696536122</v>
      </c>
      <c r="AU52" s="116">
        <f>EDisponible!G65</f>
        <v>0.78707420504205761</v>
      </c>
      <c r="AV52" s="116">
        <f t="shared" si="43"/>
        <v>-1.2925794957942438E-2</v>
      </c>
      <c r="AW52" s="116">
        <f>IF(AV52&lt;0, 0, 0.00035*(10*AV52/((1/COS(M$1))-0.8))^(3/(1+1/(DATOS!E$6))))</f>
        <v>0</v>
      </c>
      <c r="AX52" s="116">
        <f t="shared" si="18"/>
        <v>108861.05696536122</v>
      </c>
      <c r="AY52" s="116">
        <f t="shared" si="44"/>
        <v>10099865.46023616</v>
      </c>
      <c r="AZ52" s="116">
        <f t="shared" si="19"/>
        <v>0.33464589734455435</v>
      </c>
      <c r="BA52" s="116">
        <f t="shared" si="20"/>
        <v>2.0159042536086108E-2</v>
      </c>
      <c r="BB52" s="116">
        <f t="shared" si="21"/>
        <v>101801.80871082383</v>
      </c>
      <c r="BC52" s="116">
        <f>EDisponible!H65</f>
        <v>0.80360851073023887</v>
      </c>
      <c r="BD52" s="116">
        <f t="shared" si="45"/>
        <v>3.6085107302388231E-3</v>
      </c>
      <c r="BE52" s="116">
        <f>IF(BD52&lt;0, 0, 0.00035*(10*BD52/((1/COS(M$1))-0.8))^(3/(1+1/(DATOS!E$6))))</f>
        <v>3.5067977040557341E-6</v>
      </c>
      <c r="BF52" s="116">
        <f t="shared" si="22"/>
        <v>101819.51780332744</v>
      </c>
      <c r="BG52" s="116">
        <f t="shared" si="46"/>
        <v>8399208.7768839877</v>
      </c>
      <c r="BH52" s="116">
        <f t="shared" si="23"/>
        <v>0.40240439662626137</v>
      </c>
      <c r="BI52" s="116">
        <f t="shared" si="24"/>
        <v>2.3295634007202908E-2</v>
      </c>
      <c r="BJ52" s="116">
        <f t="shared" si="25"/>
        <v>97832.446808187888</v>
      </c>
      <c r="BK52" s="116">
        <f>EDisponible!I65</f>
        <v>0.82123062730713114</v>
      </c>
      <c r="BL52" s="116">
        <f t="shared" si="47"/>
        <v>2.12306273071311E-2</v>
      </c>
      <c r="BM52" s="116">
        <f>IF(BL52&lt;0, 0, 0.00035*(10*BL52/((1/COS(M$1))-0.8))^(3/(1+1/(DATOS!E$6))))</f>
        <v>3.6124495920355159E-4</v>
      </c>
      <c r="BN52" s="116">
        <f t="shared" si="26"/>
        <v>99349.532724161661</v>
      </c>
    </row>
    <row r="53" spans="1:66">
      <c r="A53" s="41">
        <f>EDisponible!A66</f>
        <v>250</v>
      </c>
      <c r="B53" s="44"/>
      <c r="C53" s="116">
        <f t="shared" si="0"/>
        <v>27592627.045506854</v>
      </c>
      <c r="D53" s="116">
        <f t="shared" si="1"/>
        <v>0.12249208944207343</v>
      </c>
      <c r="E53" s="116">
        <f t="shared" si="2"/>
        <v>1.4067949999760226E-2</v>
      </c>
      <c r="F53" s="116">
        <f t="shared" si="3"/>
        <v>194085.84881911107</v>
      </c>
      <c r="G53" s="116">
        <f>EDisponible!B66</f>
        <v>0.73205273037713947</v>
      </c>
      <c r="H53" s="116">
        <f t="shared" si="27"/>
        <v>-6.7947269622860573E-2</v>
      </c>
      <c r="I53" s="116">
        <f>IF(H53&lt;0, 0, 0.00035*(10*H53/((1/COS(M$1))-0.8))^(3/(1+1/(DATOS!E$6))))</f>
        <v>0</v>
      </c>
      <c r="J53" s="116">
        <f t="shared" si="28"/>
        <v>194085.84881911107</v>
      </c>
      <c r="K53" s="116">
        <f t="shared" si="29"/>
        <v>23836272.623303264</v>
      </c>
      <c r="L53" s="11">
        <f t="shared" si="4"/>
        <v>0.14179559838964503</v>
      </c>
      <c r="M53" s="116">
        <f t="shared" si="5"/>
        <v>1.4388363087748839E-2</v>
      </c>
      <c r="N53" s="116">
        <f t="shared" si="6"/>
        <v>171482.47258132743</v>
      </c>
      <c r="O53" s="116">
        <f>EDisponible!C66</f>
        <v>0.74476123130121064</v>
      </c>
      <c r="P53" s="116">
        <f t="shared" si="30"/>
        <v>-5.5238768698789409E-2</v>
      </c>
      <c r="Q53" s="116">
        <f>IF(P53&lt;0, 0, 0.00035*(10*P53/((1/COS(M$1))-0.8))^(3/(1+1/(DATOS!E$6))))</f>
        <v>0</v>
      </c>
      <c r="R53" s="116">
        <f t="shared" si="31"/>
        <v>171482.47258132743</v>
      </c>
      <c r="S53" s="116">
        <f t="shared" si="32"/>
        <v>20484260.495354064</v>
      </c>
      <c r="T53" s="116">
        <f t="shared" si="7"/>
        <v>0.16499880680420823</v>
      </c>
      <c r="U53" s="116">
        <f t="shared" si="8"/>
        <v>1.4835450591293656E-2</v>
      </c>
      <c r="V53" s="116">
        <f t="shared" si="9"/>
        <v>151946.61723900685</v>
      </c>
      <c r="W53" s="116">
        <f>EDisponible!D66</f>
        <v>0.75815543785656203</v>
      </c>
      <c r="X53" s="116">
        <f t="shared" si="33"/>
        <v>-4.1844562143438013E-2</v>
      </c>
      <c r="Y53" s="116">
        <f>IF(X53&lt;0, 0, 0.00035*(10*X53/((1/COS(M$1))-0.8))^(3/(1+1/(DATOS!E$6))))</f>
        <v>0</v>
      </c>
      <c r="Z53" s="116">
        <f t="shared" si="34"/>
        <v>151946.61723900685</v>
      </c>
      <c r="AA53" s="116">
        <f t="shared" si="35"/>
        <v>17505386.741047177</v>
      </c>
      <c r="AB53" s="116">
        <f t="shared" si="10"/>
        <v>0.19307648496989532</v>
      </c>
      <c r="AC53" s="116">
        <f t="shared" si="11"/>
        <v>1.5466891334562327E-2</v>
      </c>
      <c r="AD53" s="116">
        <f t="shared" si="36"/>
        <v>135376.95724663243</v>
      </c>
      <c r="AE53" s="116">
        <f>EDisponible!E66</f>
        <v>0.77229931835948418</v>
      </c>
      <c r="AF53" s="116">
        <f t="shared" si="37"/>
        <v>-2.7700681640515867E-2</v>
      </c>
      <c r="AG53" s="116">
        <f>IF(AF53&lt;0, 0, 0.00035*(10*AF53/((1/COS(M$1))-0.8))^(3/(1+1/(DATOS!E$6))))</f>
        <v>0</v>
      </c>
      <c r="AH53" s="116">
        <f t="shared" si="38"/>
        <v>135376.95724663243</v>
      </c>
      <c r="AI53" s="116">
        <f t="shared" si="39"/>
        <v>14869836.35153505</v>
      </c>
      <c r="AJ53" s="116">
        <f t="shared" si="12"/>
        <v>0.22729762857484889</v>
      </c>
      <c r="AK53" s="116">
        <f t="shared" si="13"/>
        <v>1.637039004713621E-2</v>
      </c>
      <c r="AL53" s="116">
        <f t="shared" si="14"/>
        <v>121712.5105058568</v>
      </c>
      <c r="AM53" s="116">
        <f>EDisponible!F66</f>
        <v>0.78726551999765471</v>
      </c>
      <c r="AN53" s="116">
        <f t="shared" si="40"/>
        <v>-1.2734480002345339E-2</v>
      </c>
      <c r="AO53" s="116">
        <f>IF(AN53&lt;0, 0, 0.00035*(10*AN53/((1/COS(M$1))-0.8))^(3/(1+1/(DATOS!E$6))))</f>
        <v>0</v>
      </c>
      <c r="AP53" s="116">
        <f t="shared" si="41"/>
        <v>121712.5105058568</v>
      </c>
      <c r="AQ53" s="116">
        <f t="shared" si="42"/>
        <v>12549170.158468299</v>
      </c>
      <c r="AR53" s="116">
        <f t="shared" si="15"/>
        <v>0.2693308399933701</v>
      </c>
      <c r="AS53" s="116">
        <f t="shared" si="16"/>
        <v>1.7681446034791524E-2</v>
      </c>
      <c r="AT53" s="116">
        <f t="shared" si="17"/>
        <v>110943.73746918672</v>
      </c>
      <c r="AU53" s="116">
        <f>EDisponible!G66</f>
        <v>0.80313694392046697</v>
      </c>
      <c r="AV53" s="116">
        <f t="shared" si="43"/>
        <v>3.136943920466928E-3</v>
      </c>
      <c r="AW53" s="116">
        <f>IF(AV53&lt;0, 0, 0.00035*(10*AV53/((1/COS(M$1))-0.8))^(3/(1+1/(DATOS!E$6))))</f>
        <v>2.4313067840566402E-6</v>
      </c>
      <c r="AX53" s="116">
        <f t="shared" si="18"/>
        <v>110958.99291045699</v>
      </c>
      <c r="AY53" s="116">
        <f t="shared" si="44"/>
        <v>10516311.391332945</v>
      </c>
      <c r="AZ53" s="116">
        <f t="shared" si="19"/>
        <v>0.32139391980970999</v>
      </c>
      <c r="BA53" s="116">
        <f t="shared" si="20"/>
        <v>1.9613023297923277E-2</v>
      </c>
      <c r="BB53" s="116">
        <f t="shared" si="21"/>
        <v>103128.3301632145</v>
      </c>
      <c r="BC53" s="116">
        <f>EDisponible!H66</f>
        <v>0.82000868441861108</v>
      </c>
      <c r="BD53" s="116">
        <f t="shared" si="45"/>
        <v>2.0008684418611034E-2</v>
      </c>
      <c r="BE53" s="116">
        <f>IF(BD53&lt;0, 0, 0.00035*(10*BD53/((1/COS(M$1))-0.8))^(3/(1+1/(DATOS!E$6))))</f>
        <v>3.0936456688111422E-4</v>
      </c>
      <c r="BF53" s="116">
        <f t="shared" si="22"/>
        <v>104755.01722259782</v>
      </c>
      <c r="BG53" s="116">
        <f t="shared" si="46"/>
        <v>8745531.8376551326</v>
      </c>
      <c r="BH53" s="116">
        <f t="shared" si="23"/>
        <v>0.38646918251986134</v>
      </c>
      <c r="BI53" s="116">
        <f t="shared" si="24"/>
        <v>2.2506115401808968E-2</v>
      </c>
      <c r="BJ53" s="116">
        <f t="shared" si="25"/>
        <v>98413.974394230434</v>
      </c>
      <c r="BK53" s="116">
        <f>EDisponible!I66</f>
        <v>0.83799043602768486</v>
      </c>
      <c r="BL53" s="116">
        <f t="shared" si="47"/>
        <v>3.7990436027684815E-2</v>
      </c>
      <c r="BM53" s="116">
        <f>IF(BL53&lt;0, 0, 0.00035*(10*BL53/((1/COS(M$1))-0.8))^(3/(1+1/(DATOS!E$6))))</f>
        <v>1.6547768560769424E-3</v>
      </c>
      <c r="BN53" s="116">
        <f t="shared" si="26"/>
        <v>105649.92623374832</v>
      </c>
    </row>
    <row r="54" spans="1:66">
      <c r="A54" s="41">
        <f>EDisponible!A67</f>
        <v>255</v>
      </c>
      <c r="B54" s="44"/>
      <c r="C54" s="116">
        <f t="shared" si="0"/>
        <v>28707369.17814533</v>
      </c>
      <c r="D54" s="116">
        <f t="shared" si="1"/>
        <v>0.11773557232033202</v>
      </c>
      <c r="E54" s="116">
        <f t="shared" si="2"/>
        <v>1.3996185587345306E-2</v>
      </c>
      <c r="F54" s="116">
        <f t="shared" si="3"/>
        <v>200896.83337087926</v>
      </c>
      <c r="G54" s="116">
        <f>EDisponible!B67</f>
        <v>0.7466937849846822</v>
      </c>
      <c r="H54" s="116">
        <f t="shared" si="27"/>
        <v>-5.3306215015317848E-2</v>
      </c>
      <c r="I54" s="116">
        <f>IF(H54&lt;0, 0, 0.00035*(10*H54/((1/COS(M$1))-0.8))^(3/(1+1/(DATOS!E$6))))</f>
        <v>0</v>
      </c>
      <c r="J54" s="116">
        <f t="shared" si="28"/>
        <v>200896.83337087926</v>
      </c>
      <c r="K54" s="116">
        <f t="shared" si="29"/>
        <v>24799258.037284717</v>
      </c>
      <c r="L54" s="11">
        <f t="shared" si="4"/>
        <v>0.13628950248908595</v>
      </c>
      <c r="M54" s="116">
        <f t="shared" si="5"/>
        <v>1.4292197753122616E-2</v>
      </c>
      <c r="N54" s="116">
        <f t="shared" si="6"/>
        <v>177217.94999979431</v>
      </c>
      <c r="O54" s="116">
        <f>EDisponible!C67</f>
        <v>0.75965645592723485</v>
      </c>
      <c r="P54" s="116">
        <f t="shared" si="30"/>
        <v>-4.0343544072765192E-2</v>
      </c>
      <c r="Q54" s="116">
        <f>IF(P54&lt;0, 0, 0.00035*(10*P54/((1/COS(M$1))-0.8))^(3/(1+1/(DATOS!E$6))))</f>
        <v>0</v>
      </c>
      <c r="R54" s="116">
        <f t="shared" si="31"/>
        <v>177217.94999979431</v>
      </c>
      <c r="S54" s="116">
        <f t="shared" si="32"/>
        <v>21311824.61936637</v>
      </c>
      <c r="T54" s="116">
        <f t="shared" si="7"/>
        <v>0.15859170204172263</v>
      </c>
      <c r="U54" s="116">
        <f t="shared" si="8"/>
        <v>1.4705237498306109E-2</v>
      </c>
      <c r="V54" s="116">
        <f t="shared" si="9"/>
        <v>156697.72127501483</v>
      </c>
      <c r="W54" s="116">
        <f>EDisponible!D67</f>
        <v>0.77331854661369326</v>
      </c>
      <c r="X54" s="116">
        <f t="shared" si="33"/>
        <v>-2.6681453386306786E-2</v>
      </c>
      <c r="Y54" s="116">
        <f>IF(X54&lt;0, 0, 0.00035*(10*X54/((1/COS(M$1))-0.8))^(3/(1+1/(DATOS!E$6))))</f>
        <v>0</v>
      </c>
      <c r="Z54" s="116">
        <f t="shared" si="34"/>
        <v>156697.72127501483</v>
      </c>
      <c r="AA54" s="116">
        <f t="shared" si="35"/>
        <v>18212604.36538548</v>
      </c>
      <c r="AB54" s="116">
        <f t="shared" si="10"/>
        <v>0.18557908974422851</v>
      </c>
      <c r="AC54" s="116">
        <f t="shared" si="11"/>
        <v>1.5288591140781654E-2</v>
      </c>
      <c r="AD54" s="116">
        <f t="shared" si="36"/>
        <v>139222.53087559686</v>
      </c>
      <c r="AE54" s="116">
        <f>EDisponible!E67</f>
        <v>0.78774530472667381</v>
      </c>
      <c r="AF54" s="116">
        <f t="shared" si="37"/>
        <v>-1.2254695273326233E-2</v>
      </c>
      <c r="AG54" s="116">
        <f>IF(AF54&lt;0, 0, 0.00035*(10*AF54/((1/COS(M$1))-0.8))^(3/(1+1/(DATOS!E$6))))</f>
        <v>0</v>
      </c>
      <c r="AH54" s="116">
        <f t="shared" si="38"/>
        <v>139222.53087559686</v>
      </c>
      <c r="AI54" s="116">
        <f t="shared" si="39"/>
        <v>15470577.740137065</v>
      </c>
      <c r="AJ54" s="116">
        <f t="shared" si="12"/>
        <v>0.21847138463557181</v>
      </c>
      <c r="AK54" s="116">
        <f t="shared" si="13"/>
        <v>1.6123284293813881E-2</v>
      </c>
      <c r="AL54" s="116">
        <f t="shared" si="14"/>
        <v>124718.26154688929</v>
      </c>
      <c r="AM54" s="116">
        <f>EDisponible!F67</f>
        <v>0.8030108303976079</v>
      </c>
      <c r="AN54" s="116">
        <f t="shared" si="40"/>
        <v>3.0108303976078554E-3</v>
      </c>
      <c r="AO54" s="116">
        <f>IF(AN54&lt;0, 0, 0.00035*(10*AN54/((1/COS(M$1))-0.8))^(3/(1+1/(DATOS!E$6))))</f>
        <v>2.1838982370857471E-6</v>
      </c>
      <c r="AP54" s="116">
        <f t="shared" si="41"/>
        <v>124735.15463061597</v>
      </c>
      <c r="AQ54" s="116">
        <f t="shared" si="42"/>
        <v>13056156.632870417</v>
      </c>
      <c r="AR54" s="116">
        <f t="shared" si="15"/>
        <v>0.2588723952262304</v>
      </c>
      <c r="AS54" s="116">
        <f t="shared" si="16"/>
        <v>1.7334497371273915E-2</v>
      </c>
      <c r="AT54" s="116">
        <f t="shared" si="17"/>
        <v>113160.95641571637</v>
      </c>
      <c r="AU54" s="116">
        <f>EDisponible!G67</f>
        <v>0.81919968279887634</v>
      </c>
      <c r="AV54" s="116">
        <f t="shared" si="43"/>
        <v>1.9199682798876294E-2</v>
      </c>
      <c r="AW54" s="116">
        <f>IF(AV54&lt;0, 0, 0.00035*(10*AV54/((1/COS(M$1))-0.8))^(3/(1+1/(DATOS!E$6))))</f>
        <v>2.7770977012934772E-4</v>
      </c>
      <c r="AX54" s="116">
        <f t="shared" si="18"/>
        <v>114973.86754435996</v>
      </c>
      <c r="AY54" s="116">
        <f t="shared" si="44"/>
        <v>10941170.371542795</v>
      </c>
      <c r="AZ54" s="116">
        <f t="shared" si="19"/>
        <v>0.30891380220079778</v>
      </c>
      <c r="BA54" s="116">
        <f t="shared" si="20"/>
        <v>1.9118976190834996E-2</v>
      </c>
      <c r="BB54" s="116">
        <f t="shared" si="21"/>
        <v>104591.987916698</v>
      </c>
      <c r="BC54" s="116">
        <f>EDisponible!H67</f>
        <v>0.83640885810698329</v>
      </c>
      <c r="BD54" s="116">
        <f t="shared" si="45"/>
        <v>3.6408858106983244E-2</v>
      </c>
      <c r="BE54" s="116">
        <f>IF(BD54&lt;0, 0, 0.00035*(10*BD54/((1/COS(M$1))-0.8))^(3/(1+1/(DATOS!E$6))))</f>
        <v>1.4806095821393913E-3</v>
      </c>
      <c r="BF54" s="116">
        <f t="shared" si="22"/>
        <v>112691.78876266093</v>
      </c>
      <c r="BG54" s="116">
        <f t="shared" si="46"/>
        <v>9098851.3238963988</v>
      </c>
      <c r="BH54" s="116">
        <f t="shared" si="23"/>
        <v>0.37146211314865574</v>
      </c>
      <c r="BI54" s="116">
        <f t="shared" si="24"/>
        <v>2.1791746098083223E-2</v>
      </c>
      <c r="BJ54" s="116">
        <f t="shared" si="25"/>
        <v>99139.928917279351</v>
      </c>
      <c r="BK54" s="116">
        <f>EDisponible!I67</f>
        <v>0.85475024474823846</v>
      </c>
      <c r="BL54" s="116">
        <f t="shared" si="47"/>
        <v>5.4750244748238419E-2</v>
      </c>
      <c r="BM54" s="116">
        <f>IF(BL54&lt;0, 0, 0.00035*(10*BL54/((1/COS(M$1))-0.8))^(3/(1+1/(DATOS!E$6))))</f>
        <v>4.3035990570864822E-3</v>
      </c>
      <c r="BN54" s="116">
        <f t="shared" si="26"/>
        <v>118718.83290632468</v>
      </c>
    </row>
    <row r="55" spans="1:66">
      <c r="A55" s="41">
        <f>EDisponible!A68</f>
        <v>260</v>
      </c>
      <c r="B55" s="44"/>
      <c r="C55" s="116">
        <f t="shared" si="0"/>
        <v>29844185.412420217</v>
      </c>
      <c r="D55" s="116">
        <f t="shared" si="1"/>
        <v>0.1132508223391951</v>
      </c>
      <c r="E55" s="116">
        <f t="shared" si="2"/>
        <v>1.3931124443891597E-2</v>
      </c>
      <c r="F55" s="116">
        <f t="shared" si="3"/>
        <v>207881.53045350013</v>
      </c>
      <c r="G55" s="116">
        <f>EDisponible!B68</f>
        <v>0.76133483959222503</v>
      </c>
      <c r="H55" s="116">
        <f t="shared" si="27"/>
        <v>-3.8665160407775012E-2</v>
      </c>
      <c r="I55" s="116">
        <f>IF(H55&lt;0, 0, 0.00035*(10*H55/((1/COS(M$1))-0.8))^(3/(1+1/(DATOS!E$6))))</f>
        <v>0</v>
      </c>
      <c r="J55" s="116">
        <f t="shared" si="28"/>
        <v>207881.53045350013</v>
      </c>
      <c r="K55" s="116">
        <f t="shared" si="29"/>
        <v>25781312.469364814</v>
      </c>
      <c r="L55" s="11">
        <f t="shared" si="4"/>
        <v>0.13109800146971617</v>
      </c>
      <c r="M55" s="116">
        <f t="shared" si="5"/>
        <v>1.4205014894365039E-2</v>
      </c>
      <c r="N55" s="116">
        <f t="shared" si="6"/>
        <v>183111.96381180314</v>
      </c>
      <c r="O55" s="116">
        <f>EDisponible!C68</f>
        <v>0.77455168055325907</v>
      </c>
      <c r="P55" s="116">
        <f t="shared" si="30"/>
        <v>-2.5448319446740975E-2</v>
      </c>
      <c r="Q55" s="116">
        <f>IF(P55&lt;0, 0, 0.00035*(10*P55/((1/COS(M$1))-0.8))^(3/(1+1/(DATOS!E$6))))</f>
        <v>0</v>
      </c>
      <c r="R55" s="116">
        <f t="shared" si="31"/>
        <v>183111.96381180314</v>
      </c>
      <c r="S55" s="116">
        <f t="shared" si="32"/>
        <v>22155776.151774954</v>
      </c>
      <c r="T55" s="116">
        <f t="shared" si="7"/>
        <v>0.15255067197134639</v>
      </c>
      <c r="U55" s="116">
        <f t="shared" si="8"/>
        <v>1.4587187166152168E-2</v>
      </c>
      <c r="V55" s="116">
        <f t="shared" si="9"/>
        <v>161595.22676865594</v>
      </c>
      <c r="W55" s="116">
        <f>EDisponible!D68</f>
        <v>0.7884816553708246</v>
      </c>
      <c r="X55" s="116">
        <f t="shared" si="33"/>
        <v>-1.1518344629175448E-2</v>
      </c>
      <c r="Y55" s="116">
        <f>IF(X55&lt;0, 0, 0.00035*(10*X55/((1/COS(M$1))-0.8))^(3/(1+1/(DATOS!E$6))))</f>
        <v>0</v>
      </c>
      <c r="Z55" s="116">
        <f t="shared" si="34"/>
        <v>161595.22676865594</v>
      </c>
      <c r="AA55" s="116">
        <f t="shared" si="35"/>
        <v>18933826.299116626</v>
      </c>
      <c r="AB55" s="116">
        <f t="shared" si="10"/>
        <v>0.17851006376654524</v>
      </c>
      <c r="AC55" s="116">
        <f t="shared" si="11"/>
        <v>1.5126945359885152E-2</v>
      </c>
      <c r="AD55" s="116">
        <f t="shared" si="36"/>
        <v>143205.47794014687</v>
      </c>
      <c r="AE55" s="116">
        <f>EDisponible!E68</f>
        <v>0.80319129109386356</v>
      </c>
      <c r="AF55" s="116">
        <f t="shared" si="37"/>
        <v>3.1912910938635131E-3</v>
      </c>
      <c r="AG55" s="116">
        <f>IF(AF55&lt;0, 0, 0.00035*(10*AF55/((1/COS(M$1))-0.8))^(3/(1+1/(DATOS!E$6))))</f>
        <v>2.5430192983873892E-6</v>
      </c>
      <c r="AH55" s="116">
        <f t="shared" si="38"/>
        <v>143229.55248298234</v>
      </c>
      <c r="AI55" s="116">
        <f t="shared" si="39"/>
        <v>16083214.997820308</v>
      </c>
      <c r="AJ55" s="116">
        <f t="shared" si="12"/>
        <v>0.21014943470307779</v>
      </c>
      <c r="AK55" s="116">
        <f t="shared" si="13"/>
        <v>1.5899259845983272E-2</v>
      </c>
      <c r="AL55" s="116">
        <f t="shared" si="14"/>
        <v>127855.60720458018</v>
      </c>
      <c r="AM55" s="116">
        <f>EDisponible!F68</f>
        <v>0.81875614079756098</v>
      </c>
      <c r="AN55" s="116">
        <f t="shared" si="40"/>
        <v>1.8756140797560938E-2</v>
      </c>
      <c r="AO55" s="116">
        <f>IF(AN55&lt;0, 0, 0.00035*(10*AN55/((1/COS(M$1))-0.8))^(3/(1+1/(DATOS!E$6))))</f>
        <v>2.6124231022614633E-4</v>
      </c>
      <c r="AP55" s="116">
        <f t="shared" si="41"/>
        <v>129956.41532552737</v>
      </c>
      <c r="AQ55" s="116">
        <f t="shared" si="42"/>
        <v>13573182.44339931</v>
      </c>
      <c r="AR55" s="116">
        <f t="shared" si="15"/>
        <v>0.24901150147316023</v>
      </c>
      <c r="AS55" s="116">
        <f t="shared" si="16"/>
        <v>1.7019955998905649E-2</v>
      </c>
      <c r="AT55" s="116">
        <f t="shared" si="17"/>
        <v>115507.48397588746</v>
      </c>
      <c r="AU55" s="116">
        <f>EDisponible!G68</f>
        <v>0.83526242167728559</v>
      </c>
      <c r="AV55" s="116">
        <f t="shared" si="43"/>
        <v>3.5262421677285549E-2</v>
      </c>
      <c r="AW55" s="116">
        <f>IF(AV55&lt;0, 0, 0.00035*(10*AV55/((1/COS(M$1))-0.8))^(3/(1+1/(DATOS!E$6))))</f>
        <v>1.3617581580657753E-3</v>
      </c>
      <c r="AX55" s="116">
        <f t="shared" si="18"/>
        <v>124749.17993749455</v>
      </c>
      <c r="AY55" s="116">
        <f t="shared" si="44"/>
        <v>11374442.400865713</v>
      </c>
      <c r="AZ55" s="116">
        <f t="shared" si="19"/>
        <v>0.29714674538619634</v>
      </c>
      <c r="BA55" s="116">
        <f t="shared" si="20"/>
        <v>1.8671076338728394E-2</v>
      </c>
      <c r="BB55" s="116">
        <f t="shared" si="21"/>
        <v>106186.54118851641</v>
      </c>
      <c r="BC55" s="116">
        <f>EDisponible!H68</f>
        <v>0.8528090317953555</v>
      </c>
      <c r="BD55" s="116">
        <f t="shared" si="45"/>
        <v>5.2809031795355454E-2</v>
      </c>
      <c r="BE55" s="116">
        <f>IF(BD55&lt;0, 0, 0.00035*(10*BD55/((1/COS(M$1))-0.8))^(3/(1+1/(DATOS!E$6))))</f>
        <v>3.9158691427720769E-3</v>
      </c>
      <c r="BF55" s="116">
        <f t="shared" si="22"/>
        <v>128456.9551954106</v>
      </c>
      <c r="BG55" s="116">
        <f t="shared" si="46"/>
        <v>9459167.2356077898</v>
      </c>
      <c r="BH55" s="116">
        <f t="shared" si="23"/>
        <v>0.35731248383862929</v>
      </c>
      <c r="BI55" s="116">
        <f t="shared" si="24"/>
        <v>2.1144103594164895E-2</v>
      </c>
      <c r="BJ55" s="116">
        <f t="shared" si="25"/>
        <v>100002.80597211074</v>
      </c>
      <c r="BK55" s="116">
        <f>EDisponible!I68</f>
        <v>0.87151005346879218</v>
      </c>
      <c r="BL55" s="116">
        <f t="shared" si="47"/>
        <v>7.1510053468792134E-2</v>
      </c>
      <c r="BM55" s="116">
        <f>IF(BL55&lt;0, 0, 0.00035*(10*BL55/((1/COS(M$1))-0.8))^(3/(1+1/(DATOS!E$6))))</f>
        <v>8.6530024310079081E-3</v>
      </c>
      <c r="BN55" s="116">
        <f t="shared" si="26"/>
        <v>140927.90451462302</v>
      </c>
    </row>
    <row r="56" spans="1:66">
      <c r="A56" s="41">
        <f>EDisponible!A69</f>
        <v>265</v>
      </c>
      <c r="B56" s="44"/>
      <c r="C56" s="116">
        <f t="shared" si="0"/>
        <v>31003075.748331502</v>
      </c>
      <c r="D56" s="116">
        <f t="shared" si="1"/>
        <v>0.10901752353335122</v>
      </c>
      <c r="E56" s="116">
        <f t="shared" si="2"/>
        <v>1.387202905481138E-2</v>
      </c>
      <c r="F56" s="116">
        <f t="shared" si="3"/>
        <v>215037.78378468633</v>
      </c>
      <c r="G56" s="116">
        <f>EDisponible!B69</f>
        <v>0.77597589419976776</v>
      </c>
      <c r="H56" s="116">
        <f t="shared" si="27"/>
        <v>-2.4024105800232287E-2</v>
      </c>
      <c r="I56" s="116">
        <f>IF(H56&lt;0, 0, 0.00035*(10*H56/((1/COS(M$1))-0.8))^(3/(1+1/(DATOS!E$6))))</f>
        <v>0</v>
      </c>
      <c r="J56" s="116">
        <f t="shared" si="28"/>
        <v>215037.78378468633</v>
      </c>
      <c r="K56" s="116">
        <f t="shared" si="29"/>
        <v>26782435.919543549</v>
      </c>
      <c r="L56" s="11">
        <f t="shared" si="4"/>
        <v>0.12619757777647295</v>
      </c>
      <c r="M56" s="116">
        <f t="shared" si="5"/>
        <v>1.4125826231425687E-2</v>
      </c>
      <c r="N56" s="116">
        <f t="shared" si="6"/>
        <v>189162.01792688289</v>
      </c>
      <c r="O56" s="116">
        <f>EDisponible!C69</f>
        <v>0.78944690517928329</v>
      </c>
      <c r="P56" s="116">
        <f t="shared" si="30"/>
        <v>-1.0553094820716757E-2</v>
      </c>
      <c r="Q56" s="116">
        <f>IF(P56&lt;0, 0, 0.00035*(10*P56/((1/COS(M$1))-0.8))^(3/(1+1/(DATOS!E$6))))</f>
        <v>0</v>
      </c>
      <c r="R56" s="116">
        <f t="shared" si="31"/>
        <v>189162.01792688289</v>
      </c>
      <c r="S56" s="116">
        <f t="shared" si="32"/>
        <v>23016115.092579827</v>
      </c>
      <c r="T56" s="116">
        <f t="shared" si="7"/>
        <v>0.14684835066234267</v>
      </c>
      <c r="U56" s="116">
        <f t="shared" si="8"/>
        <v>1.4479961409896443E-2</v>
      </c>
      <c r="V56" s="116">
        <f t="shared" si="9"/>
        <v>166636.22917314549</v>
      </c>
      <c r="W56" s="116">
        <f>EDisponible!D69</f>
        <v>0.80364476412795582</v>
      </c>
      <c r="X56" s="116">
        <f t="shared" si="33"/>
        <v>3.6447641279557796E-3</v>
      </c>
      <c r="Y56" s="116">
        <f>IF(X56&lt;0, 0, 0.00035*(10*X56/((1/COS(M$1))-0.8))^(3/(1+1/(DATOS!E$6))))</f>
        <v>3.5996909397607062E-6</v>
      </c>
      <c r="Z56" s="116">
        <f t="shared" si="34"/>
        <v>166677.65462362912</v>
      </c>
      <c r="AA56" s="116">
        <f t="shared" si="35"/>
        <v>19669052.542240608</v>
      </c>
      <c r="AB56" s="116">
        <f t="shared" si="10"/>
        <v>0.17183738427366974</v>
      </c>
      <c r="AC56" s="116">
        <f t="shared" si="11"/>
        <v>1.4980121621349863E-2</v>
      </c>
      <c r="AD56" s="116">
        <f t="shared" si="36"/>
        <v>147322.39962974252</v>
      </c>
      <c r="AE56" s="116">
        <f>EDisponible!E69</f>
        <v>0.81863727746105319</v>
      </c>
      <c r="AF56" s="116">
        <f t="shared" si="37"/>
        <v>1.8637277461053148E-2</v>
      </c>
      <c r="AG56" s="116">
        <f>IF(AF56&lt;0, 0, 0.00035*(10*AF56/((1/COS(M$1))-0.8))^(3/(1+1/(DATOS!E$6))))</f>
        <v>2.5693448837286445E-4</v>
      </c>
      <c r="AH56" s="116">
        <f t="shared" si="38"/>
        <v>149849.22860560231</v>
      </c>
      <c r="AI56" s="116">
        <f t="shared" si="39"/>
        <v>16707748.124584783</v>
      </c>
      <c r="AJ56" s="116">
        <f t="shared" si="12"/>
        <v>0.20229408025529449</v>
      </c>
      <c r="AK56" s="116">
        <f t="shared" si="13"/>
        <v>1.5695777226323347E-2</v>
      </c>
      <c r="AL56" s="116">
        <f t="shared" si="14"/>
        <v>131120.54625850223</v>
      </c>
      <c r="AM56" s="116">
        <f>EDisponible!F69</f>
        <v>0.83450145119751407</v>
      </c>
      <c r="AN56" s="116">
        <f t="shared" si="40"/>
        <v>3.4501451197514021E-2</v>
      </c>
      <c r="AO56" s="116">
        <f>IF(AN56&lt;0, 0, 0.00035*(10*AN56/((1/COS(M$1))-0.8))^(3/(1+1/(DATOS!E$6))))</f>
        <v>1.2862334901851289E-3</v>
      </c>
      <c r="AP56" s="116">
        <f t="shared" si="41"/>
        <v>141865.57885021158</v>
      </c>
      <c r="AQ56" s="116">
        <f t="shared" si="42"/>
        <v>14100247.590054978</v>
      </c>
      <c r="AR56" s="116">
        <f t="shared" si="15"/>
        <v>0.2397034887801443</v>
      </c>
      <c r="AS56" s="116">
        <f t="shared" si="16"/>
        <v>1.6734256366295386E-2</v>
      </c>
      <c r="AT56" s="116">
        <f t="shared" si="17"/>
        <v>117978.57900010934</v>
      </c>
      <c r="AU56" s="116">
        <f>EDisponible!G69</f>
        <v>0.85132516055569496</v>
      </c>
      <c r="AV56" s="116">
        <f t="shared" si="43"/>
        <v>5.1325160555694915E-2</v>
      </c>
      <c r="AW56" s="116">
        <f>IF(AV56&lt;0, 0, 0.00035*(10*AV56/((1/COS(M$1))-0.8))^(3/(1+1/(DATOS!E$6))))</f>
        <v>3.634588357973762E-3</v>
      </c>
      <c r="AX56" s="116">
        <f t="shared" si="18"/>
        <v>143602.87686779007</v>
      </c>
      <c r="AY56" s="116">
        <f t="shared" si="44"/>
        <v>11816127.479301697</v>
      </c>
      <c r="AZ56" s="116">
        <f t="shared" si="19"/>
        <v>0.286039444472864</v>
      </c>
      <c r="BA56" s="116">
        <f t="shared" si="20"/>
        <v>1.8264246476476682E-2</v>
      </c>
      <c r="BB56" s="116">
        <f t="shared" si="21"/>
        <v>107906.33233971766</v>
      </c>
      <c r="BC56" s="116">
        <f>EDisponible!H69</f>
        <v>0.86920920548372771</v>
      </c>
      <c r="BD56" s="116">
        <f t="shared" si="45"/>
        <v>6.9209205483727665E-2</v>
      </c>
      <c r="BE56" s="116">
        <f>IF(BD56&lt;0, 0, 0.00035*(10*BD56/((1/COS(M$1))-0.8))^(3/(1+1/(DATOS!E$6))))</f>
        <v>7.9436461915622942E-3</v>
      </c>
      <c r="BF56" s="116">
        <f t="shared" si="22"/>
        <v>154837.90036470239</v>
      </c>
      <c r="BG56" s="116">
        <f t="shared" si="46"/>
        <v>9826479.5727893058</v>
      </c>
      <c r="BH56" s="116">
        <f t="shared" si="23"/>
        <v>0.34395619661789018</v>
      </c>
      <c r="BI56" s="116">
        <f t="shared" si="24"/>
        <v>2.0555846399128497E-2</v>
      </c>
      <c r="BJ56" s="116">
        <f t="shared" si="25"/>
        <v>100995.8023712154</v>
      </c>
      <c r="BK56" s="116">
        <f>EDisponible!I69</f>
        <v>0.88826986218934589</v>
      </c>
      <c r="BL56" s="116">
        <f t="shared" si="47"/>
        <v>8.8269862189345849E-2</v>
      </c>
      <c r="BM56" s="116">
        <f>IF(BL56&lt;0, 0, 0.00035*(10*BL56/((1/COS(M$1))-0.8))^(3/(1+1/(DATOS!E$6))))</f>
        <v>1.5008302558150124E-2</v>
      </c>
      <c r="BN56" s="116">
        <f t="shared" si="26"/>
        <v>174735.19162616724</v>
      </c>
    </row>
    <row r="57" spans="1:66">
      <c r="A57" s="41">
        <f>EDisponible!A70</f>
        <v>270</v>
      </c>
      <c r="B57" s="44"/>
      <c r="C57" s="116">
        <f t="shared" si="0"/>
        <v>32184040.185879197</v>
      </c>
      <c r="D57" s="116">
        <f t="shared" si="1"/>
        <v>0.10501722345856775</v>
      </c>
      <c r="E57" s="116">
        <f t="shared" si="2"/>
        <v>1.3818254860920922E-2</v>
      </c>
      <c r="F57" s="116">
        <f t="shared" si="3"/>
        <v>222363.63487129976</v>
      </c>
      <c r="G57" s="116">
        <f>EDisponible!B70</f>
        <v>0.79061694880731059</v>
      </c>
      <c r="H57" s="116">
        <f t="shared" si="27"/>
        <v>-9.3830511926894511E-3</v>
      </c>
      <c r="I57" s="116">
        <f>IF(H57&lt;0, 0, 0.00035*(10*H57/((1/COS(M$1))-0.8))^(3/(1+1/(DATOS!E$6))))</f>
        <v>0</v>
      </c>
      <c r="J57" s="116">
        <f t="shared" si="28"/>
        <v>222363.63487129976</v>
      </c>
      <c r="K57" s="116">
        <f t="shared" si="29"/>
        <v>27802628.387820929</v>
      </c>
      <c r="L57" s="11">
        <f t="shared" si="4"/>
        <v>0.12156687104736369</v>
      </c>
      <c r="M57" s="116">
        <f t="shared" si="5"/>
        <v>1.4053768045819249E-2</v>
      </c>
      <c r="N57" s="116">
        <f t="shared" si="6"/>
        <v>195365.84521327246</v>
      </c>
      <c r="O57" s="116">
        <f>EDisponible!C70</f>
        <v>0.8043421298053075</v>
      </c>
      <c r="P57" s="116">
        <f t="shared" si="30"/>
        <v>4.3421298053074597E-3</v>
      </c>
      <c r="Q57" s="116">
        <f>IF(P57&lt;0, 0, 0.00035*(10*P57/((1/COS(M$1))-0.8))^(3/(1+1/(DATOS!E$6))))</f>
        <v>5.6901240188425992E-6</v>
      </c>
      <c r="R57" s="116">
        <f t="shared" si="31"/>
        <v>195444.94541506071</v>
      </c>
      <c r="S57" s="116">
        <f t="shared" si="32"/>
        <v>23892841.441780977</v>
      </c>
      <c r="T57" s="116">
        <f t="shared" si="7"/>
        <v>0.14145988237672175</v>
      </c>
      <c r="U57" s="116">
        <f t="shared" si="8"/>
        <v>1.4382390707736932E-2</v>
      </c>
      <c r="V57" s="116">
        <f t="shared" si="9"/>
        <v>171818.09036685131</v>
      </c>
      <c r="W57" s="116">
        <f>EDisponible!D70</f>
        <v>0.81880787288508705</v>
      </c>
      <c r="X57" s="116">
        <f t="shared" si="33"/>
        <v>1.8807872885087007E-2</v>
      </c>
      <c r="Y57" s="116">
        <f>IF(X57&lt;0, 0, 0.00035*(10*X57/((1/COS(M$1))-0.8))^(3/(1+1/(DATOS!E$6))))</f>
        <v>2.6313100840037447E-4</v>
      </c>
      <c r="Z57" s="116">
        <f t="shared" si="34"/>
        <v>174961.56409791432</v>
      </c>
      <c r="AA57" s="116">
        <f t="shared" si="35"/>
        <v>20418283.094757427</v>
      </c>
      <c r="AB57" s="116">
        <f t="shared" si="10"/>
        <v>0.16553196585210506</v>
      </c>
      <c r="AC57" s="116">
        <f t="shared" si="11"/>
        <v>1.4846518504311384E-2</v>
      </c>
      <c r="AD57" s="116">
        <f t="shared" si="36"/>
        <v>151570.20889629223</v>
      </c>
      <c r="AE57" s="116">
        <f>EDisponible!E70</f>
        <v>0.83408326382824283</v>
      </c>
      <c r="AF57" s="116">
        <f t="shared" si="37"/>
        <v>3.4083263828242782E-2</v>
      </c>
      <c r="AG57" s="116">
        <f>IF(AF57&lt;0, 0, 0.00035*(10*AF57/((1/COS(M$1))-0.8))^(3/(1+1/(DATOS!E$6))))</f>
        <v>1.245857149677063E-3</v>
      </c>
      <c r="AH57" s="116">
        <f t="shared" si="38"/>
        <v>164289.34088515912</v>
      </c>
      <c r="AI57" s="116">
        <f t="shared" si="39"/>
        <v>17344177.120430484</v>
      </c>
      <c r="AJ57" s="116">
        <f t="shared" si="12"/>
        <v>0.19487108073975384</v>
      </c>
      <c r="AK57" s="116">
        <f t="shared" si="13"/>
        <v>1.5510617030016351E-2</v>
      </c>
      <c r="AL57" s="116">
        <f t="shared" si="14"/>
        <v>134509.44450788453</v>
      </c>
      <c r="AM57" s="116">
        <f>EDisponible!F70</f>
        <v>0.85024676159746715</v>
      </c>
      <c r="AN57" s="116">
        <f t="shared" si="40"/>
        <v>5.0246761597467104E-2</v>
      </c>
      <c r="AO57" s="116">
        <f>IF(AN57&lt;0, 0, 0.00035*(10*AN57/((1/COS(M$1))-0.8))^(3/(1+1/(DATOS!E$6))))</f>
        <v>3.4382347615542824E-3</v>
      </c>
      <c r="AP57" s="116">
        <f t="shared" si="41"/>
        <v>164326.12085089379</v>
      </c>
      <c r="AQ57" s="116">
        <f t="shared" si="42"/>
        <v>14637352.072837422</v>
      </c>
      <c r="AR57" s="116">
        <f t="shared" si="15"/>
        <v>0.23090778463080427</v>
      </c>
      <c r="AS57" s="116">
        <f t="shared" si="16"/>
        <v>1.6474282319630548E-2</v>
      </c>
      <c r="AT57" s="116">
        <f t="shared" si="17"/>
        <v>120569.93522987654</v>
      </c>
      <c r="AU57" s="116">
        <f>EDisponible!G70</f>
        <v>0.86738789943410433</v>
      </c>
      <c r="AV57" s="116">
        <f t="shared" si="43"/>
        <v>6.7387899434104281E-2</v>
      </c>
      <c r="AW57" s="116">
        <f>IF(AV57&lt;0, 0, 0.00035*(10*AV57/((1/COS(M$1))-0.8))^(3/(1+1/(DATOS!E$6))))</f>
        <v>7.4084721564541467E-3</v>
      </c>
      <c r="AX57" s="116">
        <f t="shared" si="18"/>
        <v>174790.14286779275</v>
      </c>
      <c r="AY57" s="116">
        <f t="shared" si="44"/>
        <v>12266225.606850745</v>
      </c>
      <c r="AZ57" s="116">
        <f t="shared" si="19"/>
        <v>0.27554348406182272</v>
      </c>
      <c r="BA57" s="116">
        <f t="shared" si="20"/>
        <v>1.7894049271015254E-2</v>
      </c>
      <c r="BB57" s="116">
        <f t="shared" si="21"/>
        <v>109746.22268918811</v>
      </c>
      <c r="BC57" s="116">
        <f>EDisponible!H70</f>
        <v>0.88560937917210003</v>
      </c>
      <c r="BD57" s="116">
        <f t="shared" si="45"/>
        <v>8.5609379172099986E-2</v>
      </c>
      <c r="BE57" s="116">
        <f>IF(BD57&lt;0, 0, 0.00035*(10*BD57/((1/COS(M$1))-0.8))^(3/(1+1/(DATOS!E$6))))</f>
        <v>1.3853842160592085E-2</v>
      </c>
      <c r="BF57" s="116">
        <f t="shared" si="22"/>
        <v>194713.39942094966</v>
      </c>
      <c r="BG57" s="116">
        <f t="shared" si="46"/>
        <v>10200788.335440945</v>
      </c>
      <c r="BH57" s="116">
        <f t="shared" si="23"/>
        <v>0.33133503302457257</v>
      </c>
      <c r="BI57" s="116">
        <f t="shared" si="24"/>
        <v>2.0020558334260939E-2</v>
      </c>
      <c r="BJ57" s="116">
        <f t="shared" si="25"/>
        <v>102112.738962572</v>
      </c>
      <c r="BK57" s="116">
        <f>EDisponible!I70</f>
        <v>0.90502967090989961</v>
      </c>
      <c r="BL57" s="116">
        <f t="shared" si="47"/>
        <v>0.10502967090989956</v>
      </c>
      <c r="BM57" s="116">
        <f>IF(BL57&lt;0, 0, 0.00035*(10*BL57/((1/COS(M$1))-0.8))^(3/(1+1/(DATOS!E$6))))</f>
        <v>2.3647865895431792E-2</v>
      </c>
      <c r="BN57" s="116">
        <f t="shared" si="26"/>
        <v>222726.17625466819</v>
      </c>
    </row>
    <row r="58" spans="1:66">
      <c r="A58" s="41">
        <f>EDisponible!A71</f>
        <v>275</v>
      </c>
      <c r="B58" s="44"/>
      <c r="C58" s="116">
        <f t="shared" si="0"/>
        <v>33387078.725063294</v>
      </c>
      <c r="D58" s="116">
        <f t="shared" si="1"/>
        <v>0.10123313177030863</v>
      </c>
      <c r="E58" s="116">
        <f t="shared" si="2"/>
        <v>1.3769237106597934E-2</v>
      </c>
      <c r="F58" s="116">
        <f t="shared" si="3"/>
        <v>229857.30163102396</v>
      </c>
      <c r="G58" s="116">
        <f>EDisponible!B71</f>
        <v>0.80525800341485332</v>
      </c>
      <c r="H58" s="116">
        <f t="shared" si="27"/>
        <v>5.2580034148532739E-3</v>
      </c>
      <c r="I58" s="116">
        <f>IF(H58&lt;0, 0, 0.00035*(10*H58/((1/COS(M$1))-0.8))^(3/(1+1/(DATOS!E$6))))</f>
        <v>9.3865809869489237E-6</v>
      </c>
      <c r="J58" s="116">
        <f t="shared" si="28"/>
        <v>230013.99689020921</v>
      </c>
      <c r="K58" s="116">
        <f t="shared" si="29"/>
        <v>28841889.874196954</v>
      </c>
      <c r="L58" s="11">
        <f t="shared" si="4"/>
        <v>0.11718644495011983</v>
      </c>
      <c r="M58" s="116">
        <f t="shared" si="5"/>
        <v>1.3988083556969228E-2</v>
      </c>
      <c r="N58" s="116">
        <f t="shared" si="6"/>
        <v>201721.38275058585</v>
      </c>
      <c r="O58" s="116">
        <f>EDisponible!C71</f>
        <v>0.81923735443133172</v>
      </c>
      <c r="P58" s="116">
        <f t="shared" si="30"/>
        <v>1.9237354431331677E-2</v>
      </c>
      <c r="Q58" s="116">
        <f>IF(P58&lt;0, 0, 0.00035*(10*P58/((1/COS(M$1))-0.8))^(3/(1+1/(DATOS!E$6))))</f>
        <v>2.7913713531220257E-4</v>
      </c>
      <c r="R58" s="116">
        <f t="shared" si="31"/>
        <v>205746.80400882254</v>
      </c>
      <c r="S58" s="116">
        <f t="shared" si="32"/>
        <v>24785955.199378416</v>
      </c>
      <c r="T58" s="116">
        <f t="shared" si="7"/>
        <v>0.13636265025141178</v>
      </c>
      <c r="U58" s="116">
        <f t="shared" si="8"/>
        <v>1.4293450337615919E-2</v>
      </c>
      <c r="V58" s="116">
        <f t="shared" si="9"/>
        <v>177138.40985634422</v>
      </c>
      <c r="W58" s="116">
        <f>EDisponible!D71</f>
        <v>0.83397098164221828</v>
      </c>
      <c r="X58" s="116">
        <f t="shared" si="33"/>
        <v>3.3970981642218234E-2</v>
      </c>
      <c r="Y58" s="116">
        <f>IF(X58&lt;0, 0, 0.00035*(10*X58/((1/COS(M$1))-0.8))^(3/(1+1/(DATOS!E$6))))</f>
        <v>1.2351513981397699E-3</v>
      </c>
      <c r="Z58" s="116">
        <f t="shared" si="34"/>
        <v>192445.6134657152</v>
      </c>
      <c r="AA58" s="116">
        <f t="shared" si="35"/>
        <v>21181517.956667081</v>
      </c>
      <c r="AB58" s="116">
        <f t="shared" si="10"/>
        <v>0.15956734295032673</v>
      </c>
      <c r="AC58" s="116">
        <f t="shared" si="11"/>
        <v>1.4724732861534142E-2</v>
      </c>
      <c r="AD58" s="116">
        <f t="shared" si="36"/>
        <v>155946.09675685564</v>
      </c>
      <c r="AE58" s="116">
        <f>EDisponible!E71</f>
        <v>0.84952925019543257</v>
      </c>
      <c r="AF58" s="116">
        <f t="shared" si="37"/>
        <v>4.9529250195432528E-2</v>
      </c>
      <c r="AG58" s="116">
        <f>IF(AF58&lt;0, 0, 0.00035*(10*AF58/((1/COS(M$1))-0.8))^(3/(1+1/(DATOS!E$6))))</f>
        <v>3.3113035060308316E-3</v>
      </c>
      <c r="AH58" s="116">
        <f t="shared" si="38"/>
        <v>191015.314093339</v>
      </c>
      <c r="AI58" s="116">
        <f t="shared" si="39"/>
        <v>17992501.985357411</v>
      </c>
      <c r="AJ58" s="116">
        <f t="shared" si="12"/>
        <v>0.18784927981392471</v>
      </c>
      <c r="AK58" s="116">
        <f t="shared" si="13"/>
        <v>1.5341834639127123E-2</v>
      </c>
      <c r="AL58" s="116">
        <f t="shared" si="14"/>
        <v>138018.99510175994</v>
      </c>
      <c r="AM58" s="116">
        <f>EDisponible!F71</f>
        <v>0.86599207199742023</v>
      </c>
      <c r="AN58" s="116">
        <f t="shared" si="40"/>
        <v>6.5992071997420187E-2</v>
      </c>
      <c r="AO58" s="116">
        <f>IF(AN58&lt;0, 0, 0.00035*(10*AN58/((1/COS(M$1))-0.8))^(3/(1+1/(DATOS!E$6))))</f>
        <v>7.0138165473956418E-3</v>
      </c>
      <c r="AP58" s="116">
        <f t="shared" si="41"/>
        <v>201117.04917873433</v>
      </c>
      <c r="AQ58" s="116">
        <f t="shared" si="42"/>
        <v>15184495.89174664</v>
      </c>
      <c r="AR58" s="116">
        <f t="shared" si="15"/>
        <v>0.22258747106890092</v>
      </c>
      <c r="AS58" s="116">
        <f t="shared" si="16"/>
        <v>1.6237303519432644E-2</v>
      </c>
      <c r="AT58" s="116">
        <f t="shared" si="17"/>
        <v>123277.63429193413</v>
      </c>
      <c r="AU58" s="116">
        <f>EDisponible!G71</f>
        <v>0.88345063831251369</v>
      </c>
      <c r="AV58" s="116">
        <f t="shared" si="43"/>
        <v>8.3450638312513647E-2</v>
      </c>
      <c r="AW58" s="116">
        <f>IF(AV58&lt;0, 0, 0.00035*(10*AV58/((1/COS(M$1))-0.8))^(3/(1+1/(DATOS!E$6))))</f>
        <v>1.29586933761197E-2</v>
      </c>
      <c r="AX58" s="116">
        <f t="shared" si="18"/>
        <v>221663.24745798111</v>
      </c>
      <c r="AY58" s="116">
        <f t="shared" si="44"/>
        <v>12724736.783512861</v>
      </c>
      <c r="AZ58" s="116">
        <f t="shared" si="19"/>
        <v>0.26561480976009094</v>
      </c>
      <c r="BA58" s="116">
        <f t="shared" si="20"/>
        <v>1.7556596780228868E-2</v>
      </c>
      <c r="BB58" s="116">
        <f t="shared" si="21"/>
        <v>111701.53642134086</v>
      </c>
      <c r="BC58" s="116">
        <f>EDisponible!H71</f>
        <v>0.90200955286047224</v>
      </c>
      <c r="BD58" s="116">
        <f t="shared" si="45"/>
        <v>0.1020095528604722</v>
      </c>
      <c r="BE58" s="116">
        <f>IF(BD58&lt;0, 0, 0.00035*(10*BD58/((1/COS(M$1))-0.8))^(3/(1+1/(DATOS!E$6))))</f>
        <v>2.1910485196719405E-2</v>
      </c>
      <c r="BF58" s="116">
        <f t="shared" si="22"/>
        <v>251104.11488499559</v>
      </c>
      <c r="BG58" s="116">
        <f t="shared" si="46"/>
        <v>10582093.523562709</v>
      </c>
      <c r="BH58" s="116">
        <f t="shared" si="23"/>
        <v>0.31939601861145572</v>
      </c>
      <c r="BI58" s="116">
        <f t="shared" si="24"/>
        <v>1.9532617614793239E-2</v>
      </c>
      <c r="BJ58" s="116">
        <f t="shared" si="25"/>
        <v>103347.99317986521</v>
      </c>
      <c r="BK58" s="116">
        <f>EDisponible!I71</f>
        <v>0.92178947963045332</v>
      </c>
      <c r="BL58" s="116">
        <f t="shared" si="47"/>
        <v>0.12178947963045328</v>
      </c>
      <c r="BM58" s="116">
        <f>IF(BL58&lt;0, 0, 0.00035*(10*BL58/((1/COS(M$1))-0.8))^(3/(1+1/(DATOS!E$6))))</f>
        <v>3.4830150638069983E-2</v>
      </c>
      <c r="BN58" s="116">
        <f t="shared" si="26"/>
        <v>287635.94892578217</v>
      </c>
    </row>
    <row r="59" spans="1:66">
      <c r="A59" s="41">
        <f>EDisponible!A72</f>
        <v>280</v>
      </c>
      <c r="B59" s="44"/>
      <c r="C59" s="116">
        <f t="shared" si="0"/>
        <v>34612191.365883805</v>
      </c>
      <c r="D59" s="116">
        <f t="shared" si="1"/>
        <v>9.764994375165291E-2</v>
      </c>
      <c r="E59" s="116">
        <f t="shared" si="2"/>
        <v>1.3724479744798977E-2</v>
      </c>
      <c r="F59" s="116">
        <f t="shared" si="3"/>
        <v>237517.15966208917</v>
      </c>
      <c r="G59" s="116">
        <f>EDisponible!B72</f>
        <v>0.81989905802239615</v>
      </c>
      <c r="H59" s="116">
        <f t="shared" si="27"/>
        <v>1.989905802239611E-2</v>
      </c>
      <c r="I59" s="116">
        <f>IF(H59&lt;0, 0, 0.00035*(10*H59/((1/COS(M$1))-0.8))^(3/(1+1/(DATOS!E$6))))</f>
        <v>3.0495111128845244E-4</v>
      </c>
      <c r="J59" s="116">
        <f t="shared" si="28"/>
        <v>242794.67277266658</v>
      </c>
      <c r="K59" s="116">
        <f t="shared" si="29"/>
        <v>29900220.37867162</v>
      </c>
      <c r="L59" s="11">
        <f t="shared" si="4"/>
        <v>0.11303858289990831</v>
      </c>
      <c r="M59" s="116">
        <f t="shared" si="5"/>
        <v>1.3928108054773257E-2</v>
      </c>
      <c r="N59" s="116">
        <f t="shared" si="6"/>
        <v>208226.75014783585</v>
      </c>
      <c r="O59" s="116">
        <f>EDisponible!C72</f>
        <v>0.83413257905735594</v>
      </c>
      <c r="P59" s="116">
        <f t="shared" si="30"/>
        <v>3.4132579057355894E-2</v>
      </c>
      <c r="Q59" s="116">
        <f>IF(P59&lt;0, 0, 0.00035*(10*P59/((1/COS(M$1))-0.8))^(3/(1+1/(DATOS!E$6))))</f>
        <v>1.2505772484453677E-3</v>
      </c>
      <c r="R59" s="116">
        <f t="shared" si="31"/>
        <v>226923.01781237047</v>
      </c>
      <c r="S59" s="116">
        <f t="shared" si="32"/>
        <v>25695456.36537214</v>
      </c>
      <c r="T59" s="116">
        <f t="shared" si="7"/>
        <v>0.13153603858753843</v>
      </c>
      <c r="U59" s="116">
        <f t="shared" si="8"/>
        <v>1.4212240245904874E-2</v>
      </c>
      <c r="V59" s="116">
        <f t="shared" si="9"/>
        <v>182594.99954641724</v>
      </c>
      <c r="W59" s="116">
        <f>EDisponible!D72</f>
        <v>0.84913409039934951</v>
      </c>
      <c r="X59" s="116">
        <f t="shared" si="33"/>
        <v>4.9134090399349462E-2</v>
      </c>
      <c r="Y59" s="116">
        <f>IF(X59&lt;0, 0, 0.00035*(10*X59/((1/COS(M$1))-0.8))^(3/(1+1/(DATOS!E$6))))</f>
        <v>3.2426531952759997E-3</v>
      </c>
      <c r="Z59" s="116">
        <f t="shared" si="34"/>
        <v>224255.72639004173</v>
      </c>
      <c r="AA59" s="116">
        <f t="shared" si="35"/>
        <v>21958757.127969578</v>
      </c>
      <c r="AB59" s="116">
        <f t="shared" si="10"/>
        <v>0.15391939171707217</v>
      </c>
      <c r="AC59" s="116">
        <f t="shared" si="11"/>
        <v>1.4613532253693499E-2</v>
      </c>
      <c r="AD59" s="116">
        <f t="shared" si="36"/>
        <v>160447.50277030273</v>
      </c>
      <c r="AE59" s="116">
        <f>EDisponible!E72</f>
        <v>0.86497523656262221</v>
      </c>
      <c r="AF59" s="116">
        <f t="shared" si="37"/>
        <v>6.4975236562622163E-2</v>
      </c>
      <c r="AG59" s="116">
        <f>IF(AF59&lt;0, 0, 0.00035*(10*AF59/((1/COS(M$1))-0.8))^(3/(1+1/(DATOS!E$6))))</f>
        <v>6.7346731463343214E-3</v>
      </c>
      <c r="AH59" s="116">
        <f t="shared" si="38"/>
        <v>234390.02874860974</v>
      </c>
      <c r="AI59" s="116">
        <f t="shared" si="39"/>
        <v>18652722.719365567</v>
      </c>
      <c r="AJ59" s="116">
        <f t="shared" si="12"/>
        <v>0.1812002778817354</v>
      </c>
      <c r="AK59" s="116">
        <f t="shared" si="13"/>
        <v>1.5187722019349691E-2</v>
      </c>
      <c r="AL59" s="116">
        <f t="shared" si="14"/>
        <v>141646.18378286634</v>
      </c>
      <c r="AM59" s="116">
        <f>EDisponible!F72</f>
        <v>0.88173738239737331</v>
      </c>
      <c r="AN59" s="116">
        <f t="shared" si="40"/>
        <v>8.173738239737327E-2</v>
      </c>
      <c r="AO59" s="116">
        <f>IF(AN59&lt;0, 0, 0.00035*(10*AN59/((1/COS(M$1))-0.8))^(3/(1+1/(DATOS!E$6))))</f>
        <v>1.2274374718749145E-2</v>
      </c>
      <c r="AP59" s="116">
        <f t="shared" si="41"/>
        <v>256121.43787407561</v>
      </c>
      <c r="AQ59" s="116">
        <f t="shared" si="42"/>
        <v>15741679.04678263</v>
      </c>
      <c r="AR59" s="116">
        <f t="shared" si="15"/>
        <v>0.21470889667838819</v>
      </c>
      <c r="AS59" s="116">
        <f t="shared" si="16"/>
        <v>1.6020921801305547E-2</v>
      </c>
      <c r="AT59" s="116">
        <f t="shared" si="17"/>
        <v>126098.10451487727</v>
      </c>
      <c r="AU59" s="116">
        <f>EDisponible!G72</f>
        <v>0.89951337719092295</v>
      </c>
      <c r="AV59" s="116">
        <f t="shared" si="43"/>
        <v>9.9513377190922903E-2</v>
      </c>
      <c r="AW59" s="116">
        <f>IF(AV59&lt;0, 0, 0.00035*(10*AV59/((1/COS(M$1))-0.8))^(3/(1+1/(DATOS!E$6))))</f>
        <v>2.0535821523268671E-2</v>
      </c>
      <c r="AX59" s="116">
        <f t="shared" si="18"/>
        <v>287732.26020553039</v>
      </c>
      <c r="AY59" s="116">
        <f t="shared" si="44"/>
        <v>13191661.009288045</v>
      </c>
      <c r="AZ59" s="116">
        <f t="shared" si="19"/>
        <v>0.25621326515442444</v>
      </c>
      <c r="BA59" s="116">
        <f t="shared" si="20"/>
        <v>1.7248474071861499E-2</v>
      </c>
      <c r="BB59" s="116">
        <f t="shared" si="21"/>
        <v>113768.01144174556</v>
      </c>
      <c r="BC59" s="116">
        <f>EDisponible!H72</f>
        <v>0.91840972654884445</v>
      </c>
      <c r="BD59" s="116">
        <f t="shared" si="45"/>
        <v>0.11840972654884441</v>
      </c>
      <c r="BE59" s="116">
        <f>IF(BD59&lt;0, 0, 0.00035*(10*BD59/((1/COS(M$1))-0.8))^(3/(1+1/(DATOS!E$6))))</f>
        <v>3.2358552385589691E-2</v>
      </c>
      <c r="BF59" s="116">
        <f t="shared" si="22"/>
        <v>327199.53835273965</v>
      </c>
      <c r="BG59" s="116">
        <f t="shared" si="46"/>
        <v>10970395.137154598</v>
      </c>
      <c r="BH59" s="116">
        <f t="shared" si="23"/>
        <v>0.30809086616698134</v>
      </c>
      <c r="BI59" s="116">
        <f t="shared" si="24"/>
        <v>1.9087086406371124E-2</v>
      </c>
      <c r="BJ59" s="116">
        <f t="shared" si="25"/>
        <v>104696.4399474517</v>
      </c>
      <c r="BK59" s="116">
        <f>EDisponible!I72</f>
        <v>0.93854928835100704</v>
      </c>
      <c r="BL59" s="116">
        <f t="shared" si="47"/>
        <v>0.13854928835100699</v>
      </c>
      <c r="BM59" s="116">
        <f>IF(BL59&lt;0, 0, 0.00035*(10*BL59/((1/COS(M$1))-0.8))^(3/(1+1/(DATOS!E$6))))</f>
        <v>4.8798061583446115E-2</v>
      </c>
      <c r="BN59" s="116">
        <f t="shared" si="26"/>
        <v>372363.44869625563</v>
      </c>
    </row>
    <row r="60" spans="1:66">
      <c r="A60" s="41">
        <f>EDisponible!A73</f>
        <v>285</v>
      </c>
      <c r="B60" s="44"/>
      <c r="C60" s="116">
        <f t="shared" si="0"/>
        <v>35859378.10834071</v>
      </c>
      <c r="D60" s="116">
        <f t="shared" si="1"/>
        <v>9.425368532015499E-2</v>
      </c>
      <c r="E60" s="116">
        <f t="shared" si="2"/>
        <v>1.3683546047645965E-2</v>
      </c>
      <c r="F60" s="116">
        <f t="shared" si="3"/>
        <v>245341.72579271387</v>
      </c>
      <c r="G60" s="116">
        <f>EDisponible!B73</f>
        <v>0.83454011262993899</v>
      </c>
      <c r="H60" s="116">
        <f t="shared" si="27"/>
        <v>3.4540112629938946E-2</v>
      </c>
      <c r="I60" s="116">
        <f>IF(H60&lt;0, 0, 0.00035*(10*H60/((1/COS(M$1))-0.8))^(3/(1+1/(DATOS!E$6))))</f>
        <v>1.2900065087268807E-3</v>
      </c>
      <c r="J60" s="116">
        <f t="shared" si="28"/>
        <v>268471.14137204271</v>
      </c>
      <c r="K60" s="116">
        <f t="shared" si="29"/>
        <v>30977619.901244923</v>
      </c>
      <c r="L60" s="11">
        <f t="shared" si="4"/>
        <v>0.10910710864084719</v>
      </c>
      <c r="M60" s="116">
        <f t="shared" si="5"/>
        <v>1.3873256317655302E-2</v>
      </c>
      <c r="N60" s="116">
        <f t="shared" si="6"/>
        <v>214880.23050043537</v>
      </c>
      <c r="O60" s="116">
        <f>EDisponible!C73</f>
        <v>0.84902780368338016</v>
      </c>
      <c r="P60" s="116">
        <f t="shared" si="30"/>
        <v>4.9027803683380111E-2</v>
      </c>
      <c r="Q60" s="116">
        <f>IF(P60&lt;0, 0, 0.00035*(10*P60/((1/COS(M$1))-0.8))^(3/(1+1/(DATOS!E$6))))</f>
        <v>3.2243396253473365E-3</v>
      </c>
      <c r="R60" s="116">
        <f t="shared" si="31"/>
        <v>264821.41417370149</v>
      </c>
      <c r="S60" s="116">
        <f t="shared" si="32"/>
        <v>26621344.939762145</v>
      </c>
      <c r="T60" s="116">
        <f t="shared" si="7"/>
        <v>0.12696122407218238</v>
      </c>
      <c r="U60" s="116">
        <f t="shared" si="8"/>
        <v>1.4137968010762864E-2</v>
      </c>
      <c r="V60" s="116">
        <f t="shared" si="9"/>
        <v>188185.86158092052</v>
      </c>
      <c r="W60" s="116">
        <f>EDisponible!D73</f>
        <v>0.86429719915648073</v>
      </c>
      <c r="X60" s="116">
        <f t="shared" si="33"/>
        <v>6.4297199156480689E-2</v>
      </c>
      <c r="Y60" s="116">
        <f>IF(X60&lt;0, 0, 0.00035*(10*X60/((1/COS(M$1))-0.8))^(3/(1+1/(DATOS!E$6))))</f>
        <v>6.5524138011723654E-3</v>
      </c>
      <c r="Z60" s="116">
        <f t="shared" si="34"/>
        <v>275402.89557545428</v>
      </c>
      <c r="AA60" s="116">
        <f t="shared" si="35"/>
        <v>22750000.608664911</v>
      </c>
      <c r="AB60" s="116">
        <f t="shared" si="10"/>
        <v>0.1485660856955181</v>
      </c>
      <c r="AC60" s="116">
        <f t="shared" si="11"/>
        <v>1.4511831621180216E-2</v>
      </c>
      <c r="AD60" s="116">
        <f t="shared" si="36"/>
        <v>165072.08910734631</v>
      </c>
      <c r="AE60" s="116">
        <f>EDisponible!E73</f>
        <v>0.88042122292981195</v>
      </c>
      <c r="AF60" s="116">
        <f t="shared" si="37"/>
        <v>8.0421222929811909E-2</v>
      </c>
      <c r="AG60" s="116">
        <f>IF(AF60&lt;0, 0, 0.00035*(10*AF60/((1/COS(M$1))-0.8))^(3/(1+1/(DATOS!E$6))))</f>
        <v>1.1764156097525324E-2</v>
      </c>
      <c r="AH60" s="116">
        <f t="shared" si="38"/>
        <v>298889.36829691136</v>
      </c>
      <c r="AI60" s="116">
        <f t="shared" si="39"/>
        <v>19324839.322454952</v>
      </c>
      <c r="AJ60" s="116">
        <f t="shared" si="12"/>
        <v>0.17489814448664889</v>
      </c>
      <c r="AK60" s="116">
        <f t="shared" si="13"/>
        <v>1.5046775389524571E-2</v>
      </c>
      <c r="AL60" s="116">
        <f t="shared" si="14"/>
        <v>145388.25836181591</v>
      </c>
      <c r="AM60" s="116">
        <f>EDisponible!F73</f>
        <v>0.8974826927973264</v>
      </c>
      <c r="AN60" s="116">
        <f t="shared" si="40"/>
        <v>9.7482692797326354E-2</v>
      </c>
      <c r="AO60" s="116">
        <f>IF(AN60&lt;0, 0, 0.00035*(10*AN60/((1/COS(M$1))-0.8))^(3/(1+1/(DATOS!E$6))))</f>
        <v>1.9457814728062614E-2</v>
      </c>
      <c r="AP60" s="116">
        <f t="shared" si="41"/>
        <v>333397.8299547697</v>
      </c>
      <c r="AQ60" s="116">
        <f t="shared" si="42"/>
        <v>16308901.537945399</v>
      </c>
      <c r="AR60" s="116">
        <f t="shared" si="15"/>
        <v>0.20724133579052795</v>
      </c>
      <c r="AS60" s="116">
        <f t="shared" si="16"/>
        <v>1.5823025782343379E-2</v>
      </c>
      <c r="AT60" s="116">
        <f t="shared" si="17"/>
        <v>129028.08475830482</v>
      </c>
      <c r="AU60" s="116">
        <f>EDisponible!G73</f>
        <v>0.91557611606933231</v>
      </c>
      <c r="AV60" s="116">
        <f t="shared" si="43"/>
        <v>0.11557611606933227</v>
      </c>
      <c r="AW60" s="116">
        <f>IF(AV60&lt;0, 0, 0.00035*(10*AV60/((1/COS(M$1))-0.8))^(3/(1+1/(DATOS!E$6))))</f>
        <v>3.0372260458432766E-2</v>
      </c>
      <c r="AX60" s="116">
        <f t="shared" si="18"/>
        <v>376697.18740901101</v>
      </c>
      <c r="AY60" s="116">
        <f t="shared" si="44"/>
        <v>13666998.284176296</v>
      </c>
      <c r="AZ60" s="116">
        <f t="shared" si="19"/>
        <v>0.24730218514135885</v>
      </c>
      <c r="BA60" s="116">
        <f t="shared" si="20"/>
        <v>1.6966674584060374E-2</v>
      </c>
      <c r="BB60" s="116">
        <f t="shared" si="21"/>
        <v>115941.75621426535</v>
      </c>
      <c r="BC60" s="116">
        <f>EDisponible!H73</f>
        <v>0.93480990023721666</v>
      </c>
      <c r="BD60" s="116">
        <f t="shared" si="45"/>
        <v>0.13480990023721662</v>
      </c>
      <c r="BE60" s="116">
        <f>IF(BD60&lt;0, 0, 0.00035*(10*BD60/((1/COS(M$1))-0.8))^(3/(1+1/(DATOS!E$6))))</f>
        <v>4.5428168862627114E-2</v>
      </c>
      <c r="BF60" s="116">
        <f t="shared" si="22"/>
        <v>426375.10916366323</v>
      </c>
      <c r="BG60" s="116">
        <f t="shared" si="46"/>
        <v>11365693.176216608</v>
      </c>
      <c r="BH60" s="116">
        <f t="shared" si="23"/>
        <v>0.29737548670349451</v>
      </c>
      <c r="BI60" s="116">
        <f t="shared" si="24"/>
        <v>1.8679617359386527E-2</v>
      </c>
      <c r="BJ60" s="116">
        <f t="shared" si="25"/>
        <v>106153.39977795837</v>
      </c>
      <c r="BK60" s="116">
        <f>EDisponible!I73</f>
        <v>0.95530909707156064</v>
      </c>
      <c r="BL60" s="116">
        <f t="shared" si="47"/>
        <v>0.1553090970715606</v>
      </c>
      <c r="BM60" s="116">
        <f>IF(BL60&lt;0, 0, 0.00035*(10*BL60/((1/COS(M$1))-0.8))^(3/(1+1/(DATOS!E$6))))</f>
        <v>6.5781880110931418E-2</v>
      </c>
      <c r="BN60" s="116">
        <f t="shared" si="26"/>
        <v>479981.73272571451</v>
      </c>
    </row>
    <row r="61" spans="1:66">
      <c r="A61" s="41">
        <f>EDisponible!A74</f>
        <v>290</v>
      </c>
      <c r="B61" s="44"/>
      <c r="C61" s="116">
        <f t="shared" si="0"/>
        <v>37128638.952434026</v>
      </c>
      <c r="D61" s="116">
        <f t="shared" si="1"/>
        <v>9.1031576577046247E-2</v>
      </c>
      <c r="E61" s="116">
        <f t="shared" si="2"/>
        <v>1.3646050636174746E-2</v>
      </c>
      <c r="F61" s="116">
        <f t="shared" si="3"/>
        <v>253329.64359858239</v>
      </c>
      <c r="G61" s="116">
        <f>EDisponible!B74</f>
        <v>0.84918116723748172</v>
      </c>
      <c r="H61" s="116">
        <f t="shared" si="27"/>
        <v>4.9181167237481671E-2</v>
      </c>
      <c r="I61" s="116">
        <f>IF(H61&lt;0, 0, 0.00035*(10*H61/((1/COS(M$1))-0.8))^(3/(1+1/(DATOS!E$6))))</f>
        <v>3.2507851782118181E-3</v>
      </c>
      <c r="J61" s="116">
        <f t="shared" si="28"/>
        <v>313678.25819545763</v>
      </c>
      <c r="K61" s="116">
        <f t="shared" si="29"/>
        <v>32074088.441916872</v>
      </c>
      <c r="L61" s="11">
        <f t="shared" si="4"/>
        <v>0.10537722829194784</v>
      </c>
      <c r="M61" s="116">
        <f t="shared" si="5"/>
        <v>1.3823011932315251E-2</v>
      </c>
      <c r="N61" s="116">
        <f t="shared" si="6"/>
        <v>221680.2536253758</v>
      </c>
      <c r="O61" s="116">
        <f>EDisponible!C74</f>
        <v>0.86392302830940437</v>
      </c>
      <c r="P61" s="116">
        <f t="shared" si="30"/>
        <v>6.3923028309404328E-2</v>
      </c>
      <c r="Q61" s="116">
        <f>IF(P61&lt;0, 0, 0.00035*(10*P61/((1/COS(M$1))-0.8))^(3/(1+1/(DATOS!E$6))))</f>
        <v>6.4531545249309945E-3</v>
      </c>
      <c r="R61" s="116">
        <f t="shared" si="31"/>
        <v>325169.77810637222</v>
      </c>
      <c r="S61" s="116">
        <f t="shared" si="32"/>
        <v>27563620.922548432</v>
      </c>
      <c r="T61" s="116">
        <f t="shared" si="7"/>
        <v>0.12262099197696805</v>
      </c>
      <c r="U61" s="116">
        <f t="shared" si="8"/>
        <v>1.4069934380496658E-2</v>
      </c>
      <c r="V61" s="116">
        <f t="shared" si="9"/>
        <v>193909.16883457059</v>
      </c>
      <c r="W61" s="116">
        <f>EDisponible!D74</f>
        <v>0.87946030791361196</v>
      </c>
      <c r="X61" s="116">
        <f t="shared" si="33"/>
        <v>7.9460307913611916E-2</v>
      </c>
      <c r="Y61" s="116">
        <f>IF(X61&lt;0, 0, 0.00035*(10*X61/((1/COS(M$1))-0.8))^(3/(1+1/(DATOS!E$6))))</f>
        <v>1.1400065536577988E-2</v>
      </c>
      <c r="Z61" s="116">
        <f t="shared" si="34"/>
        <v>351022.71130579273</v>
      </c>
      <c r="AA61" s="116">
        <f t="shared" si="35"/>
        <v>23555248.398753081</v>
      </c>
      <c r="AB61" s="116">
        <f t="shared" si="10"/>
        <v>0.14348728074457143</v>
      </c>
      <c r="AC61" s="116">
        <f t="shared" si="11"/>
        <v>1.4418673481842975E-2</v>
      </c>
      <c r="AD61" s="116">
        <f t="shared" si="36"/>
        <v>169817.71772266261</v>
      </c>
      <c r="AE61" s="116">
        <f>EDisponible!E74</f>
        <v>0.89586720929700159</v>
      </c>
      <c r="AF61" s="116">
        <f t="shared" si="37"/>
        <v>9.5867209297001543E-2</v>
      </c>
      <c r="AG61" s="116">
        <f>IF(AF61&lt;0, 0, 0.00035*(10*AF61/((1/COS(M$1))-0.8))^(3/(1+1/(DATOS!E$6))))</f>
        <v>1.8625720752925609E-2</v>
      </c>
      <c r="AH61" s="116">
        <f t="shared" si="38"/>
        <v>389184.45719314914</v>
      </c>
      <c r="AI61" s="116">
        <f t="shared" si="39"/>
        <v>20008851.794625562</v>
      </c>
      <c r="AJ61" s="116">
        <f t="shared" si="12"/>
        <v>0.16891916511210531</v>
      </c>
      <c r="AK61" s="116">
        <f t="shared" si="13"/>
        <v>1.4917667777744002E-2</v>
      </c>
      <c r="AL61" s="116">
        <f t="shared" si="14"/>
        <v>149242.70184317051</v>
      </c>
      <c r="AM61" s="116">
        <f>EDisponible!F74</f>
        <v>0.91322800319727948</v>
      </c>
      <c r="AN61" s="116">
        <f t="shared" si="40"/>
        <v>0.11322800319727944</v>
      </c>
      <c r="AO61" s="116">
        <f>IF(AN61&lt;0, 0, 0.00035*(10*AN61/((1/COS(M$1))-0.8))^(3/(1+1/(DATOS!E$6))))</f>
        <v>2.8784781021871052E-2</v>
      </c>
      <c r="AP61" s="116">
        <f t="shared" si="41"/>
        <v>437217.91054685466</v>
      </c>
      <c r="AQ61" s="116">
        <f t="shared" si="42"/>
        <v>16886163.365234941</v>
      </c>
      <c r="AR61" s="116">
        <f t="shared" si="15"/>
        <v>0.20015668846118467</v>
      </c>
      <c r="AS61" s="116">
        <f t="shared" si="16"/>
        <v>1.5641752328548926E-2</v>
      </c>
      <c r="AT61" s="116">
        <f t="shared" si="17"/>
        <v>132064.5925692106</v>
      </c>
      <c r="AU61" s="116">
        <f>EDisponible!G74</f>
        <v>0.93163885494774168</v>
      </c>
      <c r="AV61" s="116">
        <f t="shared" si="43"/>
        <v>0.13163885494774163</v>
      </c>
      <c r="AW61" s="116">
        <f>IF(AV61&lt;0, 0, 0.00035*(10*AV61/((1/COS(M$1))-0.8))^(3/(1+1/(DATOS!E$6))))</f>
        <v>4.2686268571628869E-2</v>
      </c>
      <c r="AX61" s="116">
        <f t="shared" si="18"/>
        <v>492468.24484562012</v>
      </c>
      <c r="AY61" s="116">
        <f t="shared" si="44"/>
        <v>14150748.60817761</v>
      </c>
      <c r="AZ61" s="116">
        <f t="shared" si="19"/>
        <v>0.23884803790852407</v>
      </c>
      <c r="BA61" s="116">
        <f t="shared" si="20"/>
        <v>1.670854525584492E-2</v>
      </c>
      <c r="BB61" s="116">
        <f t="shared" si="21"/>
        <v>118219.21176191005</v>
      </c>
      <c r="BC61" s="116">
        <f>EDisponible!H74</f>
        <v>0.95121007392558887</v>
      </c>
      <c r="BD61" s="116">
        <f t="shared" si="45"/>
        <v>0.15121007392558883</v>
      </c>
      <c r="BE61" s="116">
        <f>IF(BD61&lt;0, 0, 0.00035*(10*BD61/((1/COS(M$1))-0.8))^(3/(1+1/(DATOS!E$6))))</f>
        <v>6.1337423863171071E-2</v>
      </c>
      <c r="BF61" s="116">
        <f t="shared" si="22"/>
        <v>552204.44444239407</v>
      </c>
      <c r="BG61" s="116">
        <f t="shared" si="46"/>
        <v>11767987.640748747</v>
      </c>
      <c r="BH61" s="116">
        <f t="shared" si="23"/>
        <v>0.28720955894757833</v>
      </c>
      <c r="BI61" s="116">
        <f t="shared" si="24"/>
        <v>1.8306374270169283E-2</v>
      </c>
      <c r="BJ61" s="116">
        <f t="shared" si="25"/>
        <v>107714.5930791365</v>
      </c>
      <c r="BK61" s="116">
        <f>EDisponible!I74</f>
        <v>0.97206890579211436</v>
      </c>
      <c r="BL61" s="116">
        <f t="shared" si="47"/>
        <v>0.17206890579211431</v>
      </c>
      <c r="BM61" s="116">
        <f>IF(BL61&lt;0, 0, 0.00035*(10*BL61/((1/COS(M$1))-0.8))^(3/(1+1/(DATOS!E$6))))</f>
        <v>8.600135374525103E-2</v>
      </c>
      <c r="BN61" s="116">
        <f t="shared" si="26"/>
        <v>613746.02706002409</v>
      </c>
    </row>
    <row r="62" spans="1:66">
      <c r="A62" s="41">
        <f>EDisponible!A75</f>
        <v>295</v>
      </c>
      <c r="B62" s="44"/>
      <c r="C62" s="116">
        <f t="shared" si="0"/>
        <v>38419973.898163743</v>
      </c>
      <c r="D62" s="116">
        <f t="shared" si="1"/>
        <v>8.7971911406257861E-2</v>
      </c>
      <c r="E62" s="116">
        <f t="shared" si="2"/>
        <v>1.3611652694865748E-2</v>
      </c>
      <c r="F62" s="116">
        <f t="shared" si="3"/>
        <v>261479.6706238061</v>
      </c>
      <c r="G62" s="116">
        <f>EDisponible!B75</f>
        <v>0.86382222184502455</v>
      </c>
      <c r="H62" s="116">
        <f t="shared" si="27"/>
        <v>6.3822221845024507E-2</v>
      </c>
      <c r="I62" s="116">
        <f>IF(H62&lt;0, 0, 0.00035*(10*H62/((1/COS(M$1))-0.8))^(3/(1+1/(DATOS!E$6))))</f>
        <v>6.4265726675068156E-3</v>
      </c>
      <c r="J62" s="116">
        <f t="shared" si="28"/>
        <v>384934.04769393831</v>
      </c>
      <c r="K62" s="116">
        <f t="shared" si="29"/>
        <v>33189626.000687465</v>
      </c>
      <c r="L62" s="11">
        <f t="shared" si="4"/>
        <v>0.10183539097216678</v>
      </c>
      <c r="M62" s="116">
        <f t="shared" si="5"/>
        <v>1.3776918201103354E-2</v>
      </c>
      <c r="N62" s="116">
        <f t="shared" si="6"/>
        <v>228625.38126834211</v>
      </c>
      <c r="O62" s="116">
        <f>EDisponible!C75</f>
        <v>0.87881825293542859</v>
      </c>
      <c r="P62" s="116">
        <f t="shared" si="30"/>
        <v>7.8818252935428545E-2</v>
      </c>
      <c r="Q62" s="116">
        <f>IF(P62&lt;0, 0, 0.00035*(10*P62/((1/COS(M$1))-0.8))^(3/(1+1/(DATOS!E$6))))</f>
        <v>1.1160719639061711E-2</v>
      </c>
      <c r="R62" s="116">
        <f t="shared" si="31"/>
        <v>413835.43662783504</v>
      </c>
      <c r="S62" s="116">
        <f t="shared" si="32"/>
        <v>28522284.313731</v>
      </c>
      <c r="T62" s="116">
        <f t="shared" si="7"/>
        <v>0.11849957397601855</v>
      </c>
      <c r="U62" s="116">
        <f t="shared" si="8"/>
        <v>1.4007520961651225E-2</v>
      </c>
      <c r="V62" s="116">
        <f t="shared" si="9"/>
        <v>199763.24769938143</v>
      </c>
      <c r="W62" s="116">
        <f>EDisponible!D75</f>
        <v>0.89462341667074319</v>
      </c>
      <c r="X62" s="116">
        <f t="shared" si="33"/>
        <v>9.4623416670743143E-2</v>
      </c>
      <c r="Y62" s="116">
        <f>IF(X62&lt;0, 0, 0.00035*(10*X62/((1/COS(M$1))-0.8))^(3/(1+1/(DATOS!E$6))))</f>
        <v>1.8000312262037025E-2</v>
      </c>
      <c r="Z62" s="116">
        <f t="shared" si="34"/>
        <v>456468.25973626063</v>
      </c>
      <c r="AA62" s="116">
        <f t="shared" si="35"/>
        <v>24374500.498234086</v>
      </c>
      <c r="AB62" s="116">
        <f t="shared" si="10"/>
        <v>0.13866452525847123</v>
      </c>
      <c r="AC62" s="116">
        <f t="shared" si="11"/>
        <v>1.4333211072346879E-2</v>
      </c>
      <c r="AD62" s="116">
        <f t="shared" si="36"/>
        <v>174682.43021210664</v>
      </c>
      <c r="AE62" s="116">
        <f>EDisponible!E75</f>
        <v>0.91131319566419133</v>
      </c>
      <c r="AF62" s="116">
        <f t="shared" si="37"/>
        <v>0.11131319566419129</v>
      </c>
      <c r="AG62" s="116">
        <f>IF(AF62&lt;0, 0, 0.00035*(10*AF62/((1/COS(M$1))-0.8))^(3/(1+1/(DATOS!E$6))))</f>
        <v>2.7528988827517937E-2</v>
      </c>
      <c r="AH62" s="116">
        <f t="shared" si="38"/>
        <v>510185.10615821497</v>
      </c>
      <c r="AI62" s="116">
        <f t="shared" si="39"/>
        <v>20704760.135877404</v>
      </c>
      <c r="AJ62" s="116">
        <f t="shared" si="12"/>
        <v>0.16324161776418333</v>
      </c>
      <c r="AK62" s="116">
        <f t="shared" si="13"/>
        <v>1.4799225657006589E-2</v>
      </c>
      <c r="AL62" s="116">
        <f t="shared" si="14"/>
        <v>153207.20871252206</v>
      </c>
      <c r="AM62" s="116">
        <f>EDisponible!F75</f>
        <v>0.92897331359723256</v>
      </c>
      <c r="AN62" s="116">
        <f t="shared" si="40"/>
        <v>0.12897331359723252</v>
      </c>
      <c r="AO62" s="116">
        <f>IF(AN62&lt;0, 0, 0.00035*(10*AN62/((1/COS(M$1))-0.8))^(3/(1+1/(DATOS!E$6))))</f>
        <v>4.0462479563449318E-2</v>
      </c>
      <c r="AP62" s="116">
        <f t="shared" si="41"/>
        <v>572090.17564455187</v>
      </c>
      <c r="AQ62" s="116">
        <f t="shared" si="42"/>
        <v>17473464.528651256</v>
      </c>
      <c r="AR62" s="116">
        <f t="shared" si="15"/>
        <v>0.19342921573784122</v>
      </c>
      <c r="AS62" s="116">
        <f t="shared" si="16"/>
        <v>1.547545375014054E-2</v>
      </c>
      <c r="AT62" s="116">
        <f t="shared" si="17"/>
        <v>135204.8960839319</v>
      </c>
      <c r="AU62" s="116">
        <f>EDisponible!G75</f>
        <v>0.94770159382615105</v>
      </c>
      <c r="AV62" s="116">
        <f t="shared" si="43"/>
        <v>0.147701593826151</v>
      </c>
      <c r="AW62" s="116">
        <f>IF(AV62&lt;0, 0, 0.00035*(10*AV62/((1/COS(M$1))-0.8))^(3/(1+1/(DATOS!E$6))))</f>
        <v>5.7684650152621336E-2</v>
      </c>
      <c r="AX62" s="116">
        <f t="shared" si="18"/>
        <v>639180.24022867496</v>
      </c>
      <c r="AY62" s="116">
        <f t="shared" si="44"/>
        <v>14642911.981291991</v>
      </c>
      <c r="AZ62" s="116">
        <f t="shared" si="19"/>
        <v>0.23082010902737002</v>
      </c>
      <c r="BA62" s="116">
        <f t="shared" si="20"/>
        <v>1.6471739813960332E-2</v>
      </c>
      <c r="BB62" s="116">
        <f t="shared" si="21"/>
        <v>120597.11813728203</v>
      </c>
      <c r="BC62" s="116">
        <f>EDisponible!H75</f>
        <v>0.96761024761396108</v>
      </c>
      <c r="BD62" s="116">
        <f t="shared" si="45"/>
        <v>0.16761024761396104</v>
      </c>
      <c r="BE62" s="116">
        <f>IF(BD62&lt;0, 0, 0.00035*(10*BD62/((1/COS(M$1))-0.8))^(3/(1+1/(DATOS!E$6))))</f>
        <v>8.029437436947777E-2</v>
      </c>
      <c r="BF62" s="116">
        <f t="shared" si="22"/>
        <v>708468.84637986729</v>
      </c>
      <c r="BG62" s="116">
        <f t="shared" si="46"/>
        <v>12177278.530751007</v>
      </c>
      <c r="BH62" s="116">
        <f t="shared" si="23"/>
        <v>0.27755614946844398</v>
      </c>
      <c r="BI62" s="116">
        <f t="shared" si="24"/>
        <v>1.7963964535934497E-2</v>
      </c>
      <c r="BJ62" s="116">
        <f t="shared" si="25"/>
        <v>109376.09983530382</v>
      </c>
      <c r="BK62" s="116">
        <f>EDisponible!I75</f>
        <v>0.98882871451266807</v>
      </c>
      <c r="BL62" s="116">
        <f t="shared" si="47"/>
        <v>0.18882871451266803</v>
      </c>
      <c r="BM62" s="116">
        <f>IF(BL62&lt;0, 0, 0.00035*(10*BL62/((1/COS(M$1))-0.8))^(3/(1+1/(DATOS!E$6))))</f>
        <v>0.10966725178740011</v>
      </c>
      <c r="BN62" s="116">
        <f t="shared" si="26"/>
        <v>777100.43519388989</v>
      </c>
    </row>
    <row r="63" spans="1:66">
      <c r="A63" s="41">
        <f>EDisponible!A76</f>
        <v>300</v>
      </c>
      <c r="B63" s="44"/>
      <c r="C63" s="116">
        <f t="shared" si="0"/>
        <v>39733382.945529871</v>
      </c>
      <c r="D63" s="116">
        <f t="shared" si="1"/>
        <v>8.5063951001439889E-2</v>
      </c>
      <c r="E63" s="116">
        <f t="shared" si="2"/>
        <v>1.3580050178461752E-2</v>
      </c>
      <c r="F63" s="116">
        <f t="shared" si="3"/>
        <v>269790.66708016605</v>
      </c>
      <c r="G63" s="116">
        <f>EDisponible!B76</f>
        <v>0.87846327645256728</v>
      </c>
      <c r="H63" s="116">
        <f t="shared" si="27"/>
        <v>7.8463276452567232E-2</v>
      </c>
      <c r="I63" s="116">
        <f>IF(H63&lt;0, 0, 0.00035*(10*H63/((1/COS(M$1))-0.8))^(3/(1+1/(DATOS!E$6))))</f>
        <v>1.1029735315087122E-2</v>
      </c>
      <c r="J63" s="116">
        <f t="shared" si="28"/>
        <v>488915.0156112616</v>
      </c>
      <c r="K63" s="116">
        <f t="shared" si="29"/>
        <v>34324232.5775567</v>
      </c>
      <c r="L63" s="11">
        <f t="shared" si="4"/>
        <v>9.8469165548364601E-2</v>
      </c>
      <c r="M63" s="116">
        <f t="shared" si="5"/>
        <v>1.3734570379073543E-2</v>
      </c>
      <c r="N63" s="116">
        <f t="shared" si="6"/>
        <v>235714.29402207068</v>
      </c>
      <c r="O63" s="116">
        <f>EDisponible!C76</f>
        <v>0.89371347756145281</v>
      </c>
      <c r="P63" s="116">
        <f t="shared" si="30"/>
        <v>9.3713477561452763E-2</v>
      </c>
      <c r="Q63" s="116">
        <f>IF(P63&lt;0, 0, 0.00035*(10*P63/((1/COS(M$1))-0.8))^(3/(1+1/(DATOS!E$6))))</f>
        <v>1.7551102030818024E-2</v>
      </c>
      <c r="R63" s="116">
        <f t="shared" si="31"/>
        <v>536928.34807118343</v>
      </c>
      <c r="S63" s="116">
        <f t="shared" si="32"/>
        <v>29497335.113309853</v>
      </c>
      <c r="T63" s="116">
        <f t="shared" si="7"/>
        <v>0.1145825047251446</v>
      </c>
      <c r="U63" s="116">
        <f t="shared" si="8"/>
        <v>1.3950179707557735E-2</v>
      </c>
      <c r="V63" s="116">
        <f t="shared" si="9"/>
        <v>205746.56286236268</v>
      </c>
      <c r="W63" s="116">
        <f>EDisponible!D76</f>
        <v>0.90978652542787453</v>
      </c>
      <c r="X63" s="116">
        <f t="shared" si="33"/>
        <v>0.10978652542787448</v>
      </c>
      <c r="Y63" s="116">
        <f>IF(X63&lt;0, 0, 0.00035*(10*X63/((1/COS(M$1))-0.8))^(3/(1+1/(DATOS!E$6))))</f>
        <v>2.6552425652910428E-2</v>
      </c>
      <c r="Z63" s="116">
        <f t="shared" si="34"/>
        <v>597359.4616399348</v>
      </c>
      <c r="AA63" s="116">
        <f t="shared" si="35"/>
        <v>25207756.907107931</v>
      </c>
      <c r="AB63" s="116">
        <f t="shared" si="10"/>
        <v>0.13408089234020509</v>
      </c>
      <c r="AC63" s="116">
        <f t="shared" si="11"/>
        <v>1.4254693954890235E-2</v>
      </c>
      <c r="AD63" s="116">
        <f t="shared" si="36"/>
        <v>179664.430000047</v>
      </c>
      <c r="AE63" s="116">
        <f>EDisponible!E76</f>
        <v>0.92675918203138097</v>
      </c>
      <c r="AF63" s="116">
        <f t="shared" si="37"/>
        <v>0.12675918203138092</v>
      </c>
      <c r="AG63" s="116">
        <f>IF(AF63&lt;0, 0, 0.00035*(10*AF63/((1/COS(M$1))-0.8))^(3/(1+1/(DATOS!E$6))))</f>
        <v>3.8670846290505212E-2</v>
      </c>
      <c r="AH63" s="116">
        <f t="shared" si="38"/>
        <v>667067.07634164288</v>
      </c>
      <c r="AI63" s="116">
        <f t="shared" si="39"/>
        <v>21412564.346210472</v>
      </c>
      <c r="AJ63" s="116">
        <f t="shared" si="12"/>
        <v>0.15784557539920063</v>
      </c>
      <c r="AK63" s="116">
        <f t="shared" si="13"/>
        <v>1.4690408997605263E-2</v>
      </c>
      <c r="AL63" s="116">
        <f t="shared" si="14"/>
        <v>157279.66396668597</v>
      </c>
      <c r="AM63" s="116">
        <f>EDisponible!F76</f>
        <v>0.94471862399718576</v>
      </c>
      <c r="AN63" s="116">
        <f t="shared" si="40"/>
        <v>0.14471862399718571</v>
      </c>
      <c r="AO63" s="116">
        <f>IF(AN63&lt;0, 0, 0.00035*(10*AN63/((1/COS(M$1))-0.8))^(3/(1+1/(DATOS!E$6))))</f>
        <v>5.4687236145602718E-2</v>
      </c>
      <c r="AP63" s="116">
        <f t="shared" si="41"/>
        <v>742776.64540874865</v>
      </c>
      <c r="AQ63" s="116">
        <f t="shared" si="42"/>
        <v>18070805.028194349</v>
      </c>
      <c r="AR63" s="116">
        <f t="shared" si="15"/>
        <v>0.18703530555095146</v>
      </c>
      <c r="AS63" s="116">
        <f t="shared" si="16"/>
        <v>1.5322669794121136E-2</v>
      </c>
      <c r="AT63" s="116">
        <f t="shared" si="17"/>
        <v>138446.48918048295</v>
      </c>
      <c r="AU63" s="116">
        <f>EDisponible!G76</f>
        <v>0.9637643327045603</v>
      </c>
      <c r="AV63" s="116">
        <f t="shared" si="43"/>
        <v>0.16376433270456026</v>
      </c>
      <c r="AW63" s="116">
        <f>IF(AV63&lt;0, 0, 0.00035*(10*AV63/((1/COS(M$1))-0.8))^(3/(1+1/(DATOS!E$6))))</f>
        <v>7.5564667945216005E-2</v>
      </c>
      <c r="AX63" s="116">
        <f t="shared" si="18"/>
        <v>821203.67990960588</v>
      </c>
      <c r="AY63" s="116">
        <f t="shared" si="44"/>
        <v>15143488.40351944</v>
      </c>
      <c r="AZ63" s="116">
        <f t="shared" si="19"/>
        <v>0.22319022209007638</v>
      </c>
      <c r="BA63" s="116">
        <f t="shared" si="20"/>
        <v>1.6254178890924641E-2</v>
      </c>
      <c r="BB63" s="116">
        <f t="shared" si="21"/>
        <v>123072.48477172389</v>
      </c>
      <c r="BC63" s="116">
        <f>EDisponible!H76</f>
        <v>0.98401042130233329</v>
      </c>
      <c r="BD63" s="116">
        <f t="shared" si="45"/>
        <v>0.18401042130233325</v>
      </c>
      <c r="BE63" s="116">
        <f>IF(BD63&lt;0, 0, 0.00035*(10*BD63/((1/COS(M$1))-0.8))^(3/(1+1/(DATOS!E$6))))</f>
        <v>0.10249853416012493</v>
      </c>
      <c r="BF63" s="116">
        <f t="shared" si="22"/>
        <v>899165.16648752033</v>
      </c>
      <c r="BG63" s="116">
        <f t="shared" si="46"/>
        <v>12593565.84622339</v>
      </c>
      <c r="BH63" s="116">
        <f t="shared" si="23"/>
        <v>0.26838137674990376</v>
      </c>
      <c r="BI63" s="116">
        <f t="shared" si="24"/>
        <v>1.7649381487320134E-2</v>
      </c>
      <c r="BJ63" s="116">
        <f t="shared" si="25"/>
        <v>111134.32395284111</v>
      </c>
      <c r="BK63" s="116">
        <f>EDisponible!I76</f>
        <v>1.0055885232332218</v>
      </c>
      <c r="BL63" s="116">
        <f t="shared" si="47"/>
        <v>0.20558852323322174</v>
      </c>
      <c r="BM63" s="116">
        <f>IF(BL63&lt;0, 0, 0.00035*(10*BL63/((1/COS(M$1))-0.8))^(3/(1+1/(DATOS!E$6))))</f>
        <v>0.13698256241459403</v>
      </c>
      <c r="BN63" s="116">
        <f t="shared" si="26"/>
        <v>973683.78372913855</v>
      </c>
    </row>
    <row r="64" spans="1:66">
      <c r="A64" s="41">
        <f>EDisponible!A77</f>
        <v>305</v>
      </c>
      <c r="B64" s="44"/>
      <c r="C64" s="116">
        <f t="shared" si="0"/>
        <v>41068866.0945324</v>
      </c>
      <c r="D64" s="116">
        <f t="shared" si="1"/>
        <v>8.229782950958979E-2</v>
      </c>
      <c r="E64" s="116">
        <f t="shared" si="2"/>
        <v>1.3550974852428425E-2</v>
      </c>
      <c r="F64" s="116">
        <f t="shared" si="3"/>
        <v>278261.58583237947</v>
      </c>
      <c r="G64" s="116">
        <f>EDisponible!B77</f>
        <v>0.89310433106011011</v>
      </c>
      <c r="H64" s="116">
        <f t="shared" si="27"/>
        <v>9.3104331060110068E-2</v>
      </c>
      <c r="I64" s="116">
        <f>IF(H64&lt;0, 0, 0.00035*(10*H64/((1/COS(M$1))-0.8))^(3/(1+1/(DATOS!E$6))))</f>
        <v>1.7254293329892513E-2</v>
      </c>
      <c r="J64" s="116">
        <f t="shared" si="28"/>
        <v>632568.71699294914</v>
      </c>
      <c r="K64" s="116">
        <f t="shared" si="29"/>
        <v>35477908.172524579</v>
      </c>
      <c r="L64" s="11">
        <f t="shared" si="4"/>
        <v>9.5267131409328826E-2</v>
      </c>
      <c r="M64" s="116">
        <f t="shared" si="5"/>
        <v>1.3695609028129909E-2</v>
      </c>
      <c r="N64" s="116">
        <f t="shared" si="6"/>
        <v>242945.77973339576</v>
      </c>
      <c r="O64" s="116">
        <f>EDisponible!C77</f>
        <v>0.90860870218747702</v>
      </c>
      <c r="P64" s="116">
        <f t="shared" si="30"/>
        <v>0.10860870218747698</v>
      </c>
      <c r="Q64" s="116">
        <f>IF(P64&lt;0, 0, 0.00035*(10*P64/((1/COS(M$1))-0.8))^(3/(1+1/(DATOS!E$6))))</f>
        <v>2.5813842200320545E-2</v>
      </c>
      <c r="R64" s="116">
        <f t="shared" si="31"/>
        <v>700856.34131490183</v>
      </c>
      <c r="S64" s="116">
        <f t="shared" si="32"/>
        <v>30488773.321284991</v>
      </c>
      <c r="T64" s="116">
        <f t="shared" si="7"/>
        <v>0.11085649476230061</v>
      </c>
      <c r="U64" s="116">
        <f t="shared" si="8"/>
        <v>1.3897423919486463E-2</v>
      </c>
      <c r="V64" s="116">
        <f t="shared" si="9"/>
        <v>211857.70381551338</v>
      </c>
      <c r="W64" s="116">
        <f>EDisponible!D77</f>
        <v>0.92494963418500575</v>
      </c>
      <c r="X64" s="116">
        <f t="shared" si="33"/>
        <v>0.12494963418500571</v>
      </c>
      <c r="Y64" s="116">
        <f>IF(X64&lt;0, 0, 0.00035*(10*X64/((1/COS(M$1))-0.8))^(3/(1+1/(DATOS!E$6))))</f>
        <v>3.7243635413839959E-2</v>
      </c>
      <c r="Z64" s="116">
        <f t="shared" si="34"/>
        <v>779614.08271208778</v>
      </c>
      <c r="AA64" s="116">
        <f t="shared" si="35"/>
        <v>26055017.625374615</v>
      </c>
      <c r="AB64" s="116">
        <f t="shared" si="10"/>
        <v>0.1297208310735658</v>
      </c>
      <c r="AC64" s="116">
        <f t="shared" si="11"/>
        <v>1.4182455695124302E-2</v>
      </c>
      <c r="AD64" s="116">
        <f t="shared" si="36"/>
        <v>184762.06655377915</v>
      </c>
      <c r="AE64" s="116">
        <f>EDisponible!E77</f>
        <v>0.9422051683985706</v>
      </c>
      <c r="AF64" s="116">
        <f t="shared" si="37"/>
        <v>0.14220516839857056</v>
      </c>
      <c r="AG64" s="116">
        <f>IF(AF64&lt;0, 0, 0.00035*(10*AF64/((1/COS(M$1))-0.8))^(3/(1+1/(DATOS!E$6))))</f>
        <v>5.2237862688586524E-2</v>
      </c>
      <c r="AH64" s="116">
        <f t="shared" si="38"/>
        <v>865291.28308528953</v>
      </c>
      <c r="AI64" s="116">
        <f t="shared" si="39"/>
        <v>22132264.425624769</v>
      </c>
      <c r="AJ64" s="116">
        <f t="shared" si="12"/>
        <v>0.15271273083502343</v>
      </c>
      <c r="AK64" s="116">
        <f t="shared" si="13"/>
        <v>1.4590294189989783E-2</v>
      </c>
      <c r="AL64" s="116">
        <f t="shared" si="14"/>
        <v>161458.1245302553</v>
      </c>
      <c r="AM64" s="116">
        <f>EDisponible!F77</f>
        <v>0.96046393439713884</v>
      </c>
      <c r="AN64" s="116">
        <f t="shared" si="40"/>
        <v>0.1604639343971388</v>
      </c>
      <c r="AO64" s="116">
        <f>IF(AN64&lt;0, 0, 0.00035*(10*AN64/((1/COS(M$1))-0.8))^(3/(1+1/(DATOS!E$6))))</f>
        <v>7.1646314016916138E-2</v>
      </c>
      <c r="AP64" s="116">
        <f t="shared" si="41"/>
        <v>954305.70800212235</v>
      </c>
      <c r="AQ64" s="116">
        <f t="shared" si="42"/>
        <v>18678184.863864213</v>
      </c>
      <c r="AR64" s="116">
        <f t="shared" si="15"/>
        <v>0.18095326524682218</v>
      </c>
      <c r="AS64" s="116">
        <f t="shared" si="16"/>
        <v>1.5182103667134994E-2</v>
      </c>
      <c r="AT64" s="116">
        <f t="shared" si="17"/>
        <v>141787.06945854911</v>
      </c>
      <c r="AU64" s="116">
        <f>EDisponible!G77</f>
        <v>0.97982707158296967</v>
      </c>
      <c r="AV64" s="116">
        <f t="shared" si="43"/>
        <v>0.17982707158296962</v>
      </c>
      <c r="AW64" s="116">
        <f>IF(AV64&lt;0, 0, 0.00035*(10*AV64/((1/COS(M$1))-0.8))^(3/(1+1/(DATOS!E$6))))</f>
        <v>9.651546316555934E-2</v>
      </c>
      <c r="AX64" s="116">
        <f t="shared" si="18"/>
        <v>1043153.9010724463</v>
      </c>
      <c r="AY64" s="116">
        <f t="shared" si="44"/>
        <v>15652477.874859955</v>
      </c>
      <c r="AZ64" s="116">
        <f t="shared" si="19"/>
        <v>0.21593249113794005</v>
      </c>
      <c r="BA64" s="116">
        <f t="shared" si="20"/>
        <v>1.6054015882115177E-2</v>
      </c>
      <c r="BB64" s="116">
        <f t="shared" si="21"/>
        <v>125642.56419872907</v>
      </c>
      <c r="BC64" s="116">
        <f>EDisponible!H77</f>
        <v>1.0004105949907056</v>
      </c>
      <c r="BD64" s="116">
        <f t="shared" si="45"/>
        <v>0.20041059499070557</v>
      </c>
      <c r="BE64" s="116">
        <f>IF(BD64&lt;0, 0, 0.00035*(10*BD64/((1/COS(M$1))-0.8))^(3/(1+1/(DATOS!E$6))))</f>
        <v>0.12814201809675349</v>
      </c>
      <c r="BF64" s="116">
        <f t="shared" si="22"/>
        <v>1128512.615748398</v>
      </c>
      <c r="BG64" s="116">
        <f t="shared" si="46"/>
        <v>13016849.587165896</v>
      </c>
      <c r="BH64" s="116">
        <f t="shared" si="23"/>
        <v>0.25965411349090395</v>
      </c>
      <c r="BI64" s="116">
        <f t="shared" si="24"/>
        <v>1.7359955019310643E-2</v>
      </c>
      <c r="BJ64" s="116">
        <f t="shared" si="25"/>
        <v>112985.96166316613</v>
      </c>
      <c r="BK64" s="116">
        <f>EDisponible!I77</f>
        <v>1.0223483319537754</v>
      </c>
      <c r="BL64" s="116">
        <f t="shared" si="47"/>
        <v>0.22234833195377535</v>
      </c>
      <c r="BM64" s="116">
        <f>IF(BL64&lt;0, 0, 0.00035*(10*BL64/((1/COS(M$1))-0.8))^(3/(1+1/(DATOS!E$6))))</f>
        <v>0.16814343844841173</v>
      </c>
      <c r="BN64" s="116">
        <f t="shared" si="26"/>
        <v>1207334.8853390974</v>
      </c>
    </row>
    <row r="65" spans="1:66">
      <c r="A65" s="41">
        <f>EDisponible!A78</f>
        <v>310</v>
      </c>
      <c r="B65" s="44"/>
      <c r="C65" s="116">
        <f t="shared" si="0"/>
        <v>42426423.34517134</v>
      </c>
      <c r="D65" s="116">
        <f t="shared" si="1"/>
        <v>7.9664470240682517E-2</v>
      </c>
      <c r="E65" s="116">
        <f t="shared" si="2"/>
        <v>1.3524188035872506E-2</v>
      </c>
      <c r="F65" s="116">
        <f t="shared" si="3"/>
        <v>286891.46350481408</v>
      </c>
      <c r="G65" s="116">
        <f>EDisponible!B78</f>
        <v>0.90774538566765284</v>
      </c>
      <c r="H65" s="116">
        <f t="shared" si="27"/>
        <v>0.10774538566765279</v>
      </c>
      <c r="I65" s="116">
        <f>IF(H65&lt;0, 0, 0.00035*(10*H65/((1/COS(M$1))-0.8))^(3/(1+1/(DATOS!E$6))))</f>
        <v>2.5280628920186319E-2</v>
      </c>
      <c r="J65" s="116">
        <f t="shared" si="28"/>
        <v>823174.79600481736</v>
      </c>
      <c r="K65" s="116">
        <f t="shared" si="29"/>
        <v>36650652.785591103</v>
      </c>
      <c r="L65" s="11">
        <f t="shared" si="4"/>
        <v>9.2218781470892949E-2</v>
      </c>
      <c r="M65" s="116">
        <f t="shared" si="5"/>
        <v>1.3659714312476451E-2</v>
      </c>
      <c r="N65" s="116">
        <f t="shared" si="6"/>
        <v>250318.72320847184</v>
      </c>
      <c r="O65" s="116">
        <f>EDisponible!C78</f>
        <v>0.92350392681350124</v>
      </c>
      <c r="P65" s="116">
        <f t="shared" si="30"/>
        <v>0.1235039268135012</v>
      </c>
      <c r="Q65" s="116">
        <f>IF(P65&lt;0, 0, 0.00035*(10*P65/((1/COS(M$1))-0.8))^(3/(1+1/(DATOS!E$6))))</f>
        <v>3.6127119045588817E-2</v>
      </c>
      <c r="R65" s="116">
        <f t="shared" si="31"/>
        <v>912359.97135026741</v>
      </c>
      <c r="S65" s="116">
        <f t="shared" si="32"/>
        <v>31496598.93765641</v>
      </c>
      <c r="T65" s="116">
        <f t="shared" si="7"/>
        <v>0.10730931764061409</v>
      </c>
      <c r="U65" s="116">
        <f t="shared" si="8"/>
        <v>1.3848820522375516E-2</v>
      </c>
      <c r="V65" s="116">
        <f t="shared" si="9"/>
        <v>218095.37287642347</v>
      </c>
      <c r="W65" s="116">
        <f>EDisponible!D78</f>
        <v>0.94011274294213698</v>
      </c>
      <c r="X65" s="116">
        <f t="shared" si="33"/>
        <v>0.14011274294213694</v>
      </c>
      <c r="Y65" s="116">
        <f>IF(X65&lt;0, 0, 0.00035*(10*X65/((1/COS(M$1))-0.8))^(3/(1+1/(DATOS!E$6))))</f>
        <v>5.0251406082668149E-2</v>
      </c>
      <c r="Z65" s="116">
        <f t="shared" si="34"/>
        <v>1009469.5645959767</v>
      </c>
      <c r="AA65" s="116">
        <f t="shared" si="35"/>
        <v>26916282.653034136</v>
      </c>
      <c r="AB65" s="116">
        <f t="shared" si="10"/>
        <v>0.12557003444972381</v>
      </c>
      <c r="AC65" s="116">
        <f t="shared" si="11"/>
        <v>1.41159032853439E-2</v>
      </c>
      <c r="AD65" s="116">
        <f t="shared" si="36"/>
        <v>189973.82136560479</v>
      </c>
      <c r="AE65" s="116">
        <f>EDisponible!E78</f>
        <v>0.95765115476576035</v>
      </c>
      <c r="AF65" s="116">
        <f t="shared" si="37"/>
        <v>0.1576511547657603</v>
      </c>
      <c r="AG65" s="116">
        <f>IF(AF65&lt;0, 0, 0.00035*(10*AF65/((1/COS(M$1))-0.8))^(3/(1+1/(DATOS!E$6))))</f>
        <v>6.8408011358116222E-2</v>
      </c>
      <c r="AH65" s="116">
        <f t="shared" si="38"/>
        <v>1110618.5060891176</v>
      </c>
      <c r="AI65" s="116">
        <f t="shared" si="39"/>
        <v>22863860.374120291</v>
      </c>
      <c r="AJ65" s="116">
        <f t="shared" si="12"/>
        <v>0.14782624126876229</v>
      </c>
      <c r="AK65" s="116">
        <f t="shared" si="13"/>
        <v>1.449805938639539E-2</v>
      </c>
      <c r="AL65" s="116">
        <f t="shared" si="14"/>
        <v>165740.80275312415</v>
      </c>
      <c r="AM65" s="116">
        <f>EDisponible!F78</f>
        <v>0.97620924479709192</v>
      </c>
      <c r="AN65" s="116">
        <f t="shared" si="40"/>
        <v>0.17620924479709188</v>
      </c>
      <c r="AO65" s="116">
        <f>IF(AN65&lt;0, 0, 0.00035*(10*AN65/((1/COS(M$1))-0.8))^(3/(1+1/(DATOS!E$6))))</f>
        <v>9.1519263209257004E-2</v>
      </c>
      <c r="AP65" s="116">
        <f t="shared" si="41"/>
        <v>1211982.6305325322</v>
      </c>
      <c r="AQ65" s="116">
        <f t="shared" si="42"/>
        <v>19295604.035660852</v>
      </c>
      <c r="AR65" s="116">
        <f t="shared" si="15"/>
        <v>0.17516313735260805</v>
      </c>
      <c r="AS65" s="116">
        <f t="shared" si="16"/>
        <v>1.5052601454391523E-2</v>
      </c>
      <c r="AT65" s="116">
        <f t="shared" si="17"/>
        <v>145224.51868527575</v>
      </c>
      <c r="AU65" s="116">
        <f>EDisponible!G78</f>
        <v>0.99588981046137903</v>
      </c>
      <c r="AV65" s="116">
        <f t="shared" si="43"/>
        <v>0.19588981046137899</v>
      </c>
      <c r="AW65" s="116">
        <f>IF(AV65&lt;0, 0, 0.00035*(10*AV65/((1/COS(M$1))-0.8))^(3/(1+1/(DATOS!E$6))))</f>
        <v>0.12071914593896217</v>
      </c>
      <c r="AX65" s="116">
        <f t="shared" si="18"/>
        <v>1309898.9384659606</v>
      </c>
      <c r="AY65" s="116">
        <f t="shared" si="44"/>
        <v>16169880.395313535</v>
      </c>
      <c r="AZ65" s="116">
        <f t="shared" si="19"/>
        <v>0.20902310081276665</v>
      </c>
      <c r="BA65" s="116">
        <f t="shared" si="20"/>
        <v>1.5869607638778063E-2</v>
      </c>
      <c r="BB65" s="116">
        <f t="shared" si="21"/>
        <v>128304.82871979766</v>
      </c>
      <c r="BC65" s="116">
        <f>EDisponible!H78</f>
        <v>1.0168107686790777</v>
      </c>
      <c r="BD65" s="116">
        <f t="shared" si="45"/>
        <v>0.21681076867907767</v>
      </c>
      <c r="BE65" s="116">
        <f>IF(BD65&lt;0, 0, 0.00035*(10*BD65/((1/COS(M$1))-0.8))^(3/(1+1/(DATOS!E$6))))</f>
        <v>0.15741044516444483</v>
      </c>
      <c r="BF65" s="116">
        <f t="shared" si="22"/>
        <v>1400958.864360864</v>
      </c>
      <c r="BG65" s="116">
        <f t="shared" si="46"/>
        <v>13447129.753578531</v>
      </c>
      <c r="BH65" s="116">
        <f t="shared" si="23"/>
        <v>0.25134572224236562</v>
      </c>
      <c r="BI65" s="116">
        <f t="shared" si="24"/>
        <v>1.7093309214681964E-2</v>
      </c>
      <c r="BJ65" s="116">
        <f t="shared" si="25"/>
        <v>114927.97346393396</v>
      </c>
      <c r="BK65" s="116">
        <f>EDisponible!I78</f>
        <v>1.0391081406743292</v>
      </c>
      <c r="BL65" s="116">
        <f t="shared" si="47"/>
        <v>0.23910814067432917</v>
      </c>
      <c r="BM65" s="116">
        <f>IF(BL65&lt;0, 0, 0.00035*(10*BL65/((1/COS(M$1))-0.8))^(3/(1+1/(DATOS!E$6))))</f>
        <v>0.20333996076262176</v>
      </c>
      <c r="BN65" s="116">
        <f t="shared" si="26"/>
        <v>1482097.3916952049</v>
      </c>
    </row>
    <row r="66" spans="1:66">
      <c r="A66" s="41">
        <f>EDisponible!A79</f>
        <v>315</v>
      </c>
      <c r="B66" s="44"/>
      <c r="C66" s="116">
        <f t="shared" si="0"/>
        <v>43806054.697446689</v>
      </c>
      <c r="D66" s="116">
        <f t="shared" si="1"/>
        <v>7.7155511112417113E-2</v>
      </c>
      <c r="E66" s="116">
        <f t="shared" si="2"/>
        <v>1.3499476938087588E-2</v>
      </c>
      <c r="F66" s="116">
        <f t="shared" si="3"/>
        <v>295679.41256839252</v>
      </c>
      <c r="G66" s="116">
        <f>EDisponible!B79</f>
        <v>0.92238644027519567</v>
      </c>
      <c r="H66" s="116">
        <f t="shared" si="27"/>
        <v>0.12238644027519563</v>
      </c>
      <c r="I66" s="116">
        <f>IF(H66&lt;0, 0, 0.00035*(10*H66/((1/COS(M$1))-0.8))^(3/(1+1/(DATOS!E$6))))</f>
        <v>3.527842564659206E-2</v>
      </c>
      <c r="J66" s="116">
        <f t="shared" si="28"/>
        <v>1068383.7343256015</v>
      </c>
      <c r="K66" s="116">
        <f t="shared" si="29"/>
        <v>37842466.416756265</v>
      </c>
      <c r="L66" s="11">
        <f t="shared" si="4"/>
        <v>8.931443587153251E-2</v>
      </c>
      <c r="M66" s="116">
        <f t="shared" si="5"/>
        <v>1.3626601089536247E-2</v>
      </c>
      <c r="N66" s="116">
        <f t="shared" si="6"/>
        <v>257832.09705265486</v>
      </c>
      <c r="O66" s="116">
        <f>EDisponible!C79</f>
        <v>0.93839915143952546</v>
      </c>
      <c r="P66" s="116">
        <f t="shared" si="30"/>
        <v>0.13839915143952541</v>
      </c>
      <c r="Q66" s="116">
        <f>IF(P66&lt;0, 0, 0.00035*(10*P66/((1/COS(M$1))-0.8))^(3/(1+1/(DATOS!E$6))))</f>
        <v>4.8659882878440607E-2</v>
      </c>
      <c r="R66" s="116">
        <f t="shared" si="31"/>
        <v>1178537.0888879958</v>
      </c>
      <c r="S66" s="116">
        <f t="shared" si="32"/>
        <v>32520811.962424114</v>
      </c>
      <c r="T66" s="116">
        <f t="shared" si="7"/>
        <v>0.10392970950126494</v>
      </c>
      <c r="U66" s="116">
        <f t="shared" si="8"/>
        <v>1.3803983417668407E-2</v>
      </c>
      <c r="V66" s="116">
        <f t="shared" si="9"/>
        <v>224458.37452920742</v>
      </c>
      <c r="W66" s="116">
        <f>EDisponible!D79</f>
        <v>0.95527585169926821</v>
      </c>
      <c r="X66" s="116">
        <f t="shared" si="33"/>
        <v>0.15527585169926816</v>
      </c>
      <c r="Y66" s="116">
        <f>IF(X66&lt;0, 0, 0.00035*(10*X66/((1/COS(M$1))-0.8))^(3/(1+1/(DATOS!E$6))))</f>
        <v>6.5745058646040327E-2</v>
      </c>
      <c r="Z66" s="116">
        <f t="shared" si="34"/>
        <v>1293499.7193724189</v>
      </c>
      <c r="AA66" s="116">
        <f t="shared" si="35"/>
        <v>27791551.9900865</v>
      </c>
      <c r="AB66" s="116">
        <f t="shared" si="10"/>
        <v>0.12161532185052615</v>
      </c>
      <c r="AC66" s="116">
        <f t="shared" si="11"/>
        <v>1.4054508042558242E-2</v>
      </c>
      <c r="AD66" s="116">
        <f t="shared" si="36"/>
        <v>195298.29547992311</v>
      </c>
      <c r="AE66" s="116">
        <f>EDisponible!E79</f>
        <v>0.97309714113294998</v>
      </c>
      <c r="AF66" s="116">
        <f t="shared" si="37"/>
        <v>0.17309714113294994</v>
      </c>
      <c r="AG66" s="116">
        <f>IF(AF66&lt;0, 0, 0.00035*(10*AF66/((1/COS(M$1))-0.8))^(3/(1+1/(DATOS!E$6))))</f>
        <v>8.7351947184383924E-2</v>
      </c>
      <c r="AH66" s="116">
        <f t="shared" si="38"/>
        <v>1409121.3862849711</v>
      </c>
      <c r="AI66" s="116">
        <f t="shared" si="39"/>
        <v>23607352.191697046</v>
      </c>
      <c r="AJ66" s="116">
        <f t="shared" si="12"/>
        <v>0.14317058993124773</v>
      </c>
      <c r="AK66" s="116">
        <f t="shared" si="13"/>
        <v>1.4412971886503947E-2</v>
      </c>
      <c r="AL66" s="116">
        <f t="shared" si="14"/>
        <v>170126.05172686343</v>
      </c>
      <c r="AM66" s="116">
        <f>EDisponible!F79</f>
        <v>0.99195455519704501</v>
      </c>
      <c r="AN66" s="116">
        <f t="shared" si="40"/>
        <v>0.19195455519704496</v>
      </c>
      <c r="AO66" s="116">
        <f>IF(AN66&lt;0, 0, 0.00035*(10*AN66/((1/COS(M$1))-0.8))^(3/(1+1/(DATOS!E$6))))</f>
        <v>0.11447895656511355</v>
      </c>
      <c r="AP66" s="116">
        <f t="shared" si="41"/>
        <v>1521398.5748121755</v>
      </c>
      <c r="AQ66" s="116">
        <f t="shared" si="42"/>
        <v>19923062.543584269</v>
      </c>
      <c r="AR66" s="116">
        <f t="shared" si="15"/>
        <v>0.16964653564712151</v>
      </c>
      <c r="AS66" s="116">
        <f t="shared" si="16"/>
        <v>1.4933134408511441E-2</v>
      </c>
      <c r="AT66" s="116">
        <f t="shared" si="17"/>
        <v>148756.88539626185</v>
      </c>
      <c r="AU66" s="116">
        <f>EDisponible!G79</f>
        <v>1.0119525493397883</v>
      </c>
      <c r="AV66" s="116">
        <f t="shared" si="43"/>
        <v>0.21195254933978824</v>
      </c>
      <c r="AW66" s="116">
        <f>IF(AV66&lt;0, 0, 0.00035*(10*AV66/((1/COS(M$1))-0.8))^(3/(1+1/(DATOS!E$6))))</f>
        <v>0.14835165533429781</v>
      </c>
      <c r="AX66" s="116">
        <f t="shared" si="18"/>
        <v>1626566.5392309979</v>
      </c>
      <c r="AY66" s="116">
        <f t="shared" si="44"/>
        <v>16695695.964880183</v>
      </c>
      <c r="AZ66" s="116">
        <f t="shared" si="19"/>
        <v>0.2024401107392983</v>
      </c>
      <c r="BA66" s="116">
        <f t="shared" si="20"/>
        <v>1.5699489247742837E-2</v>
      </c>
      <c r="BB66" s="116">
        <f t="shared" si="21"/>
        <v>131056.94964210996</v>
      </c>
      <c r="BC66" s="116">
        <f>EDisponible!H79</f>
        <v>1.03321094236745</v>
      </c>
      <c r="BD66" s="116">
        <f t="shared" si="45"/>
        <v>0.23321094236744999</v>
      </c>
      <c r="BE66" s="116">
        <f>IF(BD66&lt;0, 0, 0.00035*(10*BD66/((1/COS(M$1))-0.8))^(3/(1+1/(DATOS!E$6))))</f>
        <v>0.1904836667244276</v>
      </c>
      <c r="BF66" s="116">
        <f t="shared" si="22"/>
        <v>1721185.6425954136</v>
      </c>
      <c r="BG66" s="116">
        <f t="shared" si="46"/>
        <v>13884406.345461287</v>
      </c>
      <c r="BH66" s="116">
        <f t="shared" si="23"/>
        <v>0.24342982018131862</v>
      </c>
      <c r="BI66" s="116">
        <f t="shared" si="24"/>
        <v>1.684732587663347E-2</v>
      </c>
      <c r="BJ66" s="116">
        <f t="shared" si="25"/>
        <v>116957.55915279195</v>
      </c>
      <c r="BK66" s="116">
        <f>EDisponible!I79</f>
        <v>1.0558679493948828</v>
      </c>
      <c r="BL66" s="116">
        <f t="shared" si="47"/>
        <v>0.25586794939488278</v>
      </c>
      <c r="BM66" s="116">
        <f>IF(BL66&lt;0, 0, 0.00035*(10*BL66/((1/COS(M$1))-0.8))^(3/(1+1/(DATOS!E$6))))</f>
        <v>0.24275676558294954</v>
      </c>
      <c r="BN66" s="116">
        <f t="shared" si="26"/>
        <v>1802224.3473845734</v>
      </c>
    </row>
    <row r="67" spans="1:66">
      <c r="A67" s="41">
        <f>EDisponible!A80</f>
        <v>320</v>
      </c>
      <c r="B67" s="44"/>
      <c r="C67" s="116">
        <f t="shared" si="0"/>
        <v>45207760.151358433</v>
      </c>
      <c r="D67" s="116">
        <f t="shared" si="1"/>
        <v>7.4763238184859263E-2</v>
      </c>
      <c r="E67" s="116">
        <f t="shared" si="2"/>
        <v>1.3476651498160228E-2</v>
      </c>
      <c r="F67" s="116">
        <f t="shared" si="3"/>
        <v>304624.61428613641</v>
      </c>
      <c r="G67" s="116">
        <f>EDisponible!B80</f>
        <v>0.93702749488273851</v>
      </c>
      <c r="H67" s="116">
        <f t="shared" si="27"/>
        <v>0.13702749488273847</v>
      </c>
      <c r="I67" s="116">
        <f>IF(H67&lt;0, 0, 0.00035*(10*H67/((1/COS(M$1))-0.8))^(3/(1+1/(DATOS!E$6))))</f>
        <v>4.740865842675579E-2</v>
      </c>
      <c r="J67" s="116">
        <f t="shared" si="28"/>
        <v>1376244.2439133632</v>
      </c>
      <c r="K67" s="116">
        <f t="shared" si="29"/>
        <v>39053349.066020072</v>
      </c>
      <c r="L67" s="11">
        <f t="shared" si="4"/>
        <v>8.6545165032742316E-2</v>
      </c>
      <c r="M67" s="116">
        <f t="shared" si="5"/>
        <v>1.3596014674978648E-2</v>
      </c>
      <c r="N67" s="116">
        <f t="shared" si="6"/>
        <v>265484.9535043363</v>
      </c>
      <c r="O67" s="116">
        <f>EDisponible!C80</f>
        <v>0.95329437606554968</v>
      </c>
      <c r="P67" s="116">
        <f t="shared" si="30"/>
        <v>0.15329437606554963</v>
      </c>
      <c r="Q67" s="116">
        <f>IF(P67&lt;0, 0, 0.00035*(10*P67/((1/COS(M$1))-0.8))^(3/(1+1/(DATOS!E$6))))</f>
        <v>6.3573378475032583E-2</v>
      </c>
      <c r="R67" s="116">
        <f t="shared" si="31"/>
        <v>1506861.6239501634</v>
      </c>
      <c r="S67" s="116">
        <f t="shared" si="32"/>
        <v>33561412.3955881</v>
      </c>
      <c r="T67" s="116">
        <f t="shared" si="7"/>
        <v>0.10070727954358412</v>
      </c>
      <c r="U67" s="116">
        <f t="shared" si="8"/>
        <v>1.3762567748930555E-2</v>
      </c>
      <c r="V67" s="116">
        <f t="shared" si="9"/>
        <v>230945.60592203945</v>
      </c>
      <c r="W67" s="116">
        <f>EDisponible!D80</f>
        <v>0.97043896045639944</v>
      </c>
      <c r="X67" s="116">
        <f t="shared" si="33"/>
        <v>0.17043896045639939</v>
      </c>
      <c r="Y67" s="116">
        <f>IF(X67&lt;0, 0, 0.00035*(10*X67/((1/COS(M$1))-0.8))^(3/(1+1/(DATOS!E$6))))</f>
        <v>8.3886976600046528E-2</v>
      </c>
      <c r="Z67" s="116">
        <f t="shared" si="34"/>
        <v>1638628.3140686448</v>
      </c>
      <c r="AA67" s="116">
        <f t="shared" si="35"/>
        <v>28680825.636531692</v>
      </c>
      <c r="AB67" s="116">
        <f t="shared" si="10"/>
        <v>0.11784453428338339</v>
      </c>
      <c r="AC67" s="116">
        <f t="shared" si="11"/>
        <v>1.3997797756425791E-2</v>
      </c>
      <c r="AD67" s="116">
        <f t="shared" si="36"/>
        <v>200734.19837374132</v>
      </c>
      <c r="AE67" s="116">
        <f>EDisponible!E80</f>
        <v>0.98854312750013973</v>
      </c>
      <c r="AF67" s="116">
        <f t="shared" si="37"/>
        <v>0.18854312750013968</v>
      </c>
      <c r="AG67" s="116">
        <f>IF(AF67&lt;0, 0, 0.00035*(10*AF67/((1/COS(M$1))-0.8))^(3/(1+1/(DATOS!E$6))))</f>
        <v>0.10923398812774723</v>
      </c>
      <c r="AH67" s="116">
        <f t="shared" si="38"/>
        <v>1767194.681911187</v>
      </c>
      <c r="AI67" s="116">
        <f t="shared" si="39"/>
        <v>24362739.878355026</v>
      </c>
      <c r="AJ67" s="116">
        <f t="shared" si="12"/>
        <v>0.13873146275320367</v>
      </c>
      <c r="AK67" s="116">
        <f t="shared" si="13"/>
        <v>1.4334377255288223E-2</v>
      </c>
      <c r="AL67" s="116">
        <f t="shared" si="14"/>
        <v>174612.35219439783</v>
      </c>
      <c r="AM67" s="116">
        <f>EDisponible!F80</f>
        <v>1.007699865596998</v>
      </c>
      <c r="AN67" s="116">
        <f t="shared" si="40"/>
        <v>0.20769986559699793</v>
      </c>
      <c r="AO67" s="116">
        <f>IF(AN67&lt;0, 0, 0.00035*(10*AN67/((1/COS(M$1))-0.8))^(3/(1+1/(DATOS!E$6))))</f>
        <v>0.14069240677904937</v>
      </c>
      <c r="AP67" s="116">
        <f t="shared" si="41"/>
        <v>1888438.6068032444</v>
      </c>
      <c r="AQ67" s="116">
        <f t="shared" si="42"/>
        <v>20560560.387634456</v>
      </c>
      <c r="AR67" s="116">
        <f t="shared" si="15"/>
        <v>0.16438649901939095</v>
      </c>
      <c r="AS67" s="116">
        <f t="shared" si="16"/>
        <v>1.4822783670443498E-2</v>
      </c>
      <c r="AT67" s="116">
        <f t="shared" si="17"/>
        <v>152382.36938449772</v>
      </c>
      <c r="AU67" s="116">
        <f>EDisponible!G80</f>
        <v>1.0280152882181977</v>
      </c>
      <c r="AV67" s="116">
        <f t="shared" si="43"/>
        <v>0.22801528821819761</v>
      </c>
      <c r="AW67" s="116">
        <f>IF(AV67&lt;0, 0, 0.00035*(10*AV67/((1/COS(M$1))-0.8))^(3/(1+1/(DATOS!E$6))))</f>
        <v>0.17958345259700004</v>
      </c>
      <c r="AX67" s="116">
        <f t="shared" si="18"/>
        <v>1998550.5802547522</v>
      </c>
      <c r="AY67" s="116">
        <f t="shared" si="44"/>
        <v>17229924.583559897</v>
      </c>
      <c r="AZ67" s="116">
        <f t="shared" si="19"/>
        <v>0.1961632811338562</v>
      </c>
      <c r="BA67" s="116">
        <f t="shared" si="20"/>
        <v>1.554235227435093E-2</v>
      </c>
      <c r="BB67" s="116">
        <f t="shared" si="21"/>
        <v>133896.77876909357</v>
      </c>
      <c r="BC67" s="116">
        <f>EDisponible!H80</f>
        <v>1.0496111160558221</v>
      </c>
      <c r="BD67" s="116">
        <f t="shared" si="45"/>
        <v>0.24961111605582209</v>
      </c>
      <c r="BE67" s="116">
        <f>IF(BD67&lt;0, 0, 0.00035*(10*BD67/((1/COS(M$1))-0.8))^(3/(1+1/(DATOS!E$6))))</f>
        <v>0.22753636446808148</v>
      </c>
      <c r="BF67" s="116">
        <f t="shared" si="22"/>
        <v>2094113.9786703144</v>
      </c>
      <c r="BG67" s="116">
        <f t="shared" si="46"/>
        <v>14328679.362814168</v>
      </c>
      <c r="BH67" s="116">
        <f t="shared" si="23"/>
        <v>0.23588206940909509</v>
      </c>
      <c r="BI67" s="116">
        <f t="shared" si="24"/>
        <v>1.6620113069067143E-2</v>
      </c>
      <c r="BJ67" s="116">
        <f t="shared" si="25"/>
        <v>119072.13557019021</v>
      </c>
      <c r="BK67" s="116">
        <f>EDisponible!I80</f>
        <v>1.0726277581154366</v>
      </c>
      <c r="BL67" s="116">
        <f t="shared" si="47"/>
        <v>0.2726277581154366</v>
      </c>
      <c r="BM67" s="116">
        <f>IF(BL67&lt;0, 0, 0.00035*(10*BL67/((1/COS(M$1))-0.8))^(3/(1+1/(DATOS!E$6))))</f>
        <v>0.28657356777273252</v>
      </c>
      <c r="BN67" s="116">
        <f t="shared" si="26"/>
        <v>2172182.5188067798</v>
      </c>
    </row>
    <row r="68" spans="1:66">
      <c r="A68" s="41">
        <f>EDisponible!A81</f>
        <v>325</v>
      </c>
      <c r="B68" s="44"/>
      <c r="C68" s="116">
        <f t="shared" si="0"/>
        <v>46631539.706906587</v>
      </c>
      <c r="D68" s="116">
        <f t="shared" si="1"/>
        <v>7.2480526297084874E-2</v>
      </c>
      <c r="E68" s="116">
        <f t="shared" si="2"/>
        <v>1.3455541652039138E-2</v>
      </c>
      <c r="F68" s="116">
        <f t="shared" si="3"/>
        <v>313726.31241249928</v>
      </c>
      <c r="G68" s="116">
        <f>EDisponible!B81</f>
        <v>0.95166854949028123</v>
      </c>
      <c r="H68" s="116">
        <f t="shared" si="27"/>
        <v>0.15166854949028119</v>
      </c>
      <c r="I68" s="116">
        <f>IF(H68&lt;0, 0, 0.00035*(10*H68/((1/COS(M$1))-0.8))^(3/(1+1/(DATOS!E$6))))</f>
        <v>6.1825019143975792E-2</v>
      </c>
      <c r="J68" s="116">
        <f t="shared" si="28"/>
        <v>1755224.2299587829</v>
      </c>
      <c r="K68" s="116">
        <f t="shared" si="29"/>
        <v>40283300.733382516</v>
      </c>
      <c r="L68" s="11">
        <f t="shared" si="4"/>
        <v>8.3902720940618361E-2</v>
      </c>
      <c r="M68" s="116">
        <f t="shared" si="5"/>
        <v>1.356772718055306E-2</v>
      </c>
      <c r="N68" s="116">
        <f t="shared" si="6"/>
        <v>273276.41714135348</v>
      </c>
      <c r="O68" s="116">
        <f>EDisponible!C81</f>
        <v>0.96818960069157389</v>
      </c>
      <c r="P68" s="116">
        <f t="shared" si="30"/>
        <v>0.16818960069157385</v>
      </c>
      <c r="Q68" s="116">
        <f>IF(P68&lt;0, 0, 0.00035*(10*P68/((1/COS(M$1))-0.8))^(3/(1+1/(DATOS!E$6))))</f>
        <v>8.1022279997395169E-2</v>
      </c>
      <c r="R68" s="116">
        <f t="shared" si="31"/>
        <v>1905198.8527610498</v>
      </c>
      <c r="S68" s="116">
        <f t="shared" si="32"/>
        <v>34618400.237148374</v>
      </c>
      <c r="T68" s="116">
        <f t="shared" si="7"/>
        <v>9.7632430061661654E-2</v>
      </c>
      <c r="U68" s="116">
        <f t="shared" si="8"/>
        <v>1.3724264943077068E-2</v>
      </c>
      <c r="V68" s="116">
        <f t="shared" si="9"/>
        <v>237556.04838005314</v>
      </c>
      <c r="W68" s="116">
        <f>EDisponible!D81</f>
        <v>0.98560206921353066</v>
      </c>
      <c r="X68" s="116">
        <f t="shared" si="33"/>
        <v>0.18560206921353062</v>
      </c>
      <c r="Y68" s="116">
        <f>IF(X68&lt;0, 0, 0.00035*(10*X68/((1/COS(M$1))-0.8))^(3/(1+1/(DATOS!E$6))))</f>
        <v>0.10483353332662579</v>
      </c>
      <c r="Z68" s="116">
        <f t="shared" si="34"/>
        <v>2052140.6558678353</v>
      </c>
      <c r="AA68" s="116">
        <f t="shared" si="35"/>
        <v>29584103.592369724</v>
      </c>
      <c r="AB68" s="116">
        <f t="shared" si="10"/>
        <v>0.11424644081058896</v>
      </c>
      <c r="AC68" s="116">
        <f t="shared" si="11"/>
        <v>1.3945349899230099E-2</v>
      </c>
      <c r="AD68" s="116">
        <f t="shared" si="36"/>
        <v>206280.33802533298</v>
      </c>
      <c r="AE68" s="116">
        <f>EDisponible!E81</f>
        <v>1.0039891138673294</v>
      </c>
      <c r="AF68" s="116">
        <f t="shared" si="37"/>
        <v>0.20398911386732932</v>
      </c>
      <c r="AG68" s="116">
        <f>IF(AF68&lt;0, 0, 0.00035*(10*AF68/((1/COS(M$1))-0.8))^(3/(1+1/(DATOS!E$6))))</f>
        <v>0.13421288956937114</v>
      </c>
      <c r="AH68" s="116">
        <f t="shared" si="38"/>
        <v>2191564.3522511097</v>
      </c>
      <c r="AI68" s="116">
        <f t="shared" si="39"/>
        <v>25130023.434094232</v>
      </c>
      <c r="AJ68" s="116">
        <f t="shared" si="12"/>
        <v>0.13449563820996976</v>
      </c>
      <c r="AK68" s="116">
        <f t="shared" si="13"/>
        <v>1.4261689912735888E-2</v>
      </c>
      <c r="AL68" s="116">
        <f t="shared" si="14"/>
        <v>179198.3008584191</v>
      </c>
      <c r="AM68" s="116">
        <f>EDisponible!F81</f>
        <v>1.0234451759969512</v>
      </c>
      <c r="AN68" s="116">
        <f t="shared" si="40"/>
        <v>0.22344517599695113</v>
      </c>
      <c r="AO68" s="116">
        <f>IF(AN68&lt;0, 0, 0.00035*(10*AN68/((1/COS(M$1))-0.8))^(3/(1+1/(DATOS!E$6))))</f>
        <v>0.17032142492317601</v>
      </c>
      <c r="AP68" s="116">
        <f t="shared" si="41"/>
        <v>2319289.000682286</v>
      </c>
      <c r="AQ68" s="116">
        <f t="shared" si="42"/>
        <v>21208097.567811422</v>
      </c>
      <c r="AR68" s="116">
        <f t="shared" si="15"/>
        <v>0.15936736094282256</v>
      </c>
      <c r="AS68" s="116">
        <f t="shared" si="16"/>
        <v>1.4720727056972895E-2</v>
      </c>
      <c r="AT68" s="116">
        <f t="shared" si="17"/>
        <v>156099.30784670133</v>
      </c>
      <c r="AU68" s="116">
        <f>EDisponible!G81</f>
        <v>1.044078027096607</v>
      </c>
      <c r="AV68" s="116">
        <f t="shared" si="43"/>
        <v>0.24407802709660698</v>
      </c>
      <c r="AW68" s="116">
        <f>IF(AV68&lt;0, 0, 0.00035*(10*AV68/((1/COS(M$1))-0.8))^(3/(1+1/(DATOS!E$6))))</f>
        <v>0.2145800901168079</v>
      </c>
      <c r="AX68" s="116">
        <f t="shared" si="18"/>
        <v>2431517.0515002161</v>
      </c>
      <c r="AY68" s="116">
        <f t="shared" si="44"/>
        <v>17772566.251352675</v>
      </c>
      <c r="AZ68" s="116">
        <f t="shared" si="19"/>
        <v>0.19017391704716569</v>
      </c>
      <c r="BA68" s="116">
        <f t="shared" si="20"/>
        <v>1.5397025948164292E-2</v>
      </c>
      <c r="BB68" s="116">
        <f t="shared" si="21"/>
        <v>136822.33186877306</v>
      </c>
      <c r="BC68" s="116">
        <f>EDisponible!H81</f>
        <v>1.0660112897441945</v>
      </c>
      <c r="BD68" s="116">
        <f t="shared" si="45"/>
        <v>0.26601128974419441</v>
      </c>
      <c r="BE68" s="116">
        <f>IF(BD68&lt;0, 0, 0.00035*(10*BD68/((1/COS(M$1))-0.8))^(3/(1+1/(DATOS!E$6))))</f>
        <v>0.26873854889756249</v>
      </c>
      <c r="BF68" s="116">
        <f t="shared" si="22"/>
        <v>2524909.164155928</v>
      </c>
      <c r="BG68" s="116">
        <f t="shared" si="46"/>
        <v>14779948.805637171</v>
      </c>
      <c r="BH68" s="116">
        <f t="shared" si="23"/>
        <v>0.22867998965672273</v>
      </c>
      <c r="BI68" s="116">
        <f t="shared" si="24"/>
        <v>1.6409977911991083E-2</v>
      </c>
      <c r="BJ68" s="116">
        <f t="shared" si="25"/>
        <v>121269.31672043249</v>
      </c>
      <c r="BK68" s="116">
        <f>EDisponible!I81</f>
        <v>1.0893875668359903</v>
      </c>
      <c r="BL68" s="116">
        <f t="shared" si="47"/>
        <v>0.28938756683599021</v>
      </c>
      <c r="BM68" s="116">
        <f>IF(BL68&lt;0, 0, 0.00035*(10*BL68/((1/COS(M$1))-0.8))^(3/(1+1/(DATOS!E$6))))</f>
        <v>0.33496560302158057</v>
      </c>
      <c r="BN68" s="116">
        <f t="shared" si="26"/>
        <v>2596656.5488746045</v>
      </c>
    </row>
    <row r="69" spans="1:66">
      <c r="A69" s="41">
        <f>EDisponible!A82</f>
        <v>330</v>
      </c>
      <c r="B69" s="44"/>
      <c r="C69" s="116">
        <f t="shared" si="0"/>
        <v>48077393.364091143</v>
      </c>
      <c r="D69" s="116">
        <f t="shared" si="1"/>
        <v>7.0300785951603204E-2</v>
      </c>
      <c r="E69" s="116">
        <f t="shared" si="2"/>
        <v>1.3435994963780862E-2</v>
      </c>
      <c r="F69" s="116">
        <f t="shared" si="3"/>
        <v>322983.80755582004</v>
      </c>
      <c r="G69" s="116">
        <f>EDisponible!B82</f>
        <v>0.96630960409782407</v>
      </c>
      <c r="H69" s="116">
        <f t="shared" si="27"/>
        <v>0.16630960409782403</v>
      </c>
      <c r="I69" s="116">
        <f>IF(H69&lt;0, 0, 0.00035*(10*H69/((1/COS(M$1))-0.8))^(3/(1+1/(DATOS!E$6))))</f>
        <v>7.8674981606231736E-2</v>
      </c>
      <c r="J69" s="116">
        <f t="shared" si="28"/>
        <v>2214227.8268535393</v>
      </c>
      <c r="K69" s="116">
        <f t="shared" si="29"/>
        <v>41532321.418843612</v>
      </c>
      <c r="L69" s="11">
        <f t="shared" si="4"/>
        <v>8.1379475659805439E-2</v>
      </c>
      <c r="M69" s="116">
        <f t="shared" si="5"/>
        <v>1.3541534339924426E-2</v>
      </c>
      <c r="N69" s="116">
        <f t="shared" si="6"/>
        <v>281205.67835502478</v>
      </c>
      <c r="O69" s="116">
        <f>EDisponible!C82</f>
        <v>0.98308482531759811</v>
      </c>
      <c r="P69" s="116">
        <f t="shared" si="30"/>
        <v>0.18308482531759807</v>
      </c>
      <c r="Q69" s="116">
        <f>IF(P69&lt;0, 0, 0.00035*(10*P69/((1/COS(M$1))-0.8))^(3/(1+1/(DATOS!E$6))))</f>
        <v>0.10115556497832225</v>
      </c>
      <c r="R69" s="116">
        <f t="shared" si="31"/>
        <v>2381818.3973472249</v>
      </c>
      <c r="S69" s="116">
        <f t="shared" si="32"/>
        <v>35691775.487104923</v>
      </c>
      <c r="T69" s="116">
        <f t="shared" si="7"/>
        <v>9.4696284896813726E-2</v>
      </c>
      <c r="U69" s="116">
        <f t="shared" si="8"/>
        <v>1.3688798412381357E-2</v>
      </c>
      <c r="V69" s="116">
        <f t="shared" si="9"/>
        <v>244288.75981147683</v>
      </c>
      <c r="W69" s="116">
        <f>EDisponible!D82</f>
        <v>1.0007651779706619</v>
      </c>
      <c r="X69" s="116">
        <f t="shared" si="33"/>
        <v>0.20076517797066185</v>
      </c>
      <c r="Y69" s="116">
        <f>IF(X69&lt;0, 0, 0.00035*(10*X69/((1/COS(M$1))-0.8))^(3/(1+1/(DATOS!E$6))))</f>
        <v>0.12873582430871935</v>
      </c>
      <c r="Z69" s="116">
        <f t="shared" si="34"/>
        <v>2541693.8289985745</v>
      </c>
      <c r="AA69" s="116">
        <f t="shared" si="35"/>
        <v>30501385.8576006</v>
      </c>
      <c r="AB69" s="116">
        <f t="shared" si="10"/>
        <v>0.11081065482661577</v>
      </c>
      <c r="AC69" s="116">
        <f t="shared" si="11"/>
        <v>1.389678574065982E-2</v>
      </c>
      <c r="AD69" s="116">
        <f t="shared" si="36"/>
        <v>211935.61202813356</v>
      </c>
      <c r="AE69" s="116">
        <f>EDisponible!E82</f>
        <v>1.019435100234519</v>
      </c>
      <c r="AF69" s="116">
        <f t="shared" si="37"/>
        <v>0.21943510023451895</v>
      </c>
      <c r="AG69" s="116">
        <f>IF(AF69&lt;0, 0, 0.00035*(10*AF69/((1/COS(M$1))-0.8))^(3/(1+1/(DATOS!E$6))))</f>
        <v>0.16244246861393186</v>
      </c>
      <c r="AH69" s="116">
        <f t="shared" si="38"/>
        <v>2689295.8194554891</v>
      </c>
      <c r="AI69" s="116">
        <f t="shared" si="39"/>
        <v>25909202.85891467</v>
      </c>
      <c r="AJ69" s="116">
        <f t="shared" si="12"/>
        <v>0.13045088875966995</v>
      </c>
      <c r="AK69" s="116">
        <f t="shared" si="13"/>
        <v>1.4194384977539151E-2</v>
      </c>
      <c r="AL69" s="116">
        <f t="shared" si="14"/>
        <v>183882.5999202964</v>
      </c>
      <c r="AM69" s="116">
        <f>EDisponible!F82</f>
        <v>1.0391904863969044</v>
      </c>
      <c r="AN69" s="116">
        <f t="shared" si="40"/>
        <v>0.23919048639690432</v>
      </c>
      <c r="AO69" s="116">
        <f>IF(AN69&lt;0, 0, 0.00035*(10*AN69/((1/COS(M$1))-0.8))^(3/(1+1/(DATOS!E$6))))</f>
        <v>0.20352316089245079</v>
      </c>
      <c r="AP69" s="116">
        <f t="shared" si="41"/>
        <v>2820444.0309453146</v>
      </c>
      <c r="AQ69" s="116">
        <f t="shared" si="42"/>
        <v>21865674.084115159</v>
      </c>
      <c r="AR69" s="116">
        <f t="shared" si="15"/>
        <v>0.15457463268673677</v>
      </c>
      <c r="AS69" s="116">
        <f t="shared" si="16"/>
        <v>1.462622760885933E-2</v>
      </c>
      <c r="AT69" s="116">
        <f t="shared" si="17"/>
        <v>159906.16298770253</v>
      </c>
      <c r="AU69" s="116">
        <f>EDisponible!G82</f>
        <v>1.0601407659750164</v>
      </c>
      <c r="AV69" s="116">
        <f t="shared" si="43"/>
        <v>0.26014076597501634</v>
      </c>
      <c r="AW69" s="116">
        <f>IF(AV69&lt;0, 0, 0.00035*(10*AV69/((1/COS(M$1))-0.8))^(3/(1+1/(DATOS!E$6))))</f>
        <v>0.25350268557957156</v>
      </c>
      <c r="AX69" s="116">
        <f t="shared" si="18"/>
        <v>2931409.7141531184</v>
      </c>
      <c r="AY69" s="116">
        <f t="shared" si="44"/>
        <v>18323620.968258522</v>
      </c>
      <c r="AZ69" s="116">
        <f t="shared" si="19"/>
        <v>0.18445472900006313</v>
      </c>
      <c r="BA69" s="116">
        <f t="shared" si="20"/>
        <v>1.5262460855771088E-2</v>
      </c>
      <c r="BB69" s="116">
        <f t="shared" si="21"/>
        <v>139831.77388201602</v>
      </c>
      <c r="BC69" s="116">
        <f>EDisponible!H82</f>
        <v>1.0824114634325666</v>
      </c>
      <c r="BD69" s="116">
        <f t="shared" si="45"/>
        <v>0.28241146343256651</v>
      </c>
      <c r="BE69" s="116">
        <f>IF(BD69&lt;0, 0, 0.00035*(10*BD69/((1/COS(M$1))-0.8))^(3/(1+1/(DATOS!E$6))))</f>
        <v>0.31425598031708685</v>
      </c>
      <c r="BF69" s="116">
        <f t="shared" si="22"/>
        <v>3018985.5090514212</v>
      </c>
      <c r="BG69" s="116">
        <f t="shared" si="46"/>
        <v>15238214.6739303</v>
      </c>
      <c r="BH69" s="116">
        <f t="shared" si="23"/>
        <v>0.2218027907023998</v>
      </c>
      <c r="BI69" s="116">
        <f t="shared" si="24"/>
        <v>1.6215403002069494E-2</v>
      </c>
      <c r="BJ69" s="116">
        <f t="shared" si="25"/>
        <v>123546.8959849144</v>
      </c>
      <c r="BK69" s="116">
        <f>EDisponible!I82</f>
        <v>1.1061473755565439</v>
      </c>
      <c r="BL69" s="116">
        <f t="shared" si="47"/>
        <v>0.30614737555654381</v>
      </c>
      <c r="BM69" s="116">
        <f>IF(BL69&lt;0, 0, 0.00035*(10*BL69/((1/COS(M$1))-0.8))^(3/(1+1/(DATOS!E$6))))</f>
        <v>0.38810400570595377</v>
      </c>
      <c r="BN69" s="116">
        <f t="shared" si="26"/>
        <v>3080552.9733647113</v>
      </c>
    </row>
    <row r="70" spans="1:66">
      <c r="A70" s="41">
        <f>EDisponible!A83</f>
        <v>335</v>
      </c>
      <c r="B70" s="44"/>
      <c r="C70" s="116">
        <f t="shared" si="0"/>
        <v>49545321.122912109</v>
      </c>
      <c r="D70" s="116">
        <f t="shared" si="1"/>
        <v>6.8217915706211538E-2</v>
      </c>
      <c r="E70" s="116">
        <f t="shared" si="2"/>
        <v>1.3417874567841138E-2</v>
      </c>
      <c r="F70" s="116">
        <f t="shared" si="3"/>
        <v>332396.45212532236</v>
      </c>
      <c r="G70" s="116">
        <f>EDisponible!B83</f>
        <v>0.9809506587053668</v>
      </c>
      <c r="H70" s="116">
        <f t="shared" si="27"/>
        <v>0.18095065870536675</v>
      </c>
      <c r="I70" s="116">
        <f>IF(H70&lt;0, 0, 0.00035*(10*H70/((1/COS(M$1))-0.8))^(3/(1+1/(DATOS!E$6))))</f>
        <v>9.810062325969196E-2</v>
      </c>
      <c r="J70" s="116">
        <f t="shared" si="28"/>
        <v>2762609.8930049515</v>
      </c>
      <c r="K70" s="116">
        <f t="shared" si="29"/>
        <v>42800411.122403346</v>
      </c>
      <c r="L70" s="11">
        <f t="shared" si="4"/>
        <v>7.8968366222791825E-2</v>
      </c>
      <c r="M70" s="116">
        <f t="shared" si="5"/>
        <v>1.3517252751314348E-2</v>
      </c>
      <c r="N70" s="116">
        <f t="shared" si="6"/>
        <v>289271.98750084592</v>
      </c>
      <c r="O70" s="116">
        <f>EDisponible!C83</f>
        <v>0.99798004994362233</v>
      </c>
      <c r="P70" s="116">
        <f t="shared" si="30"/>
        <v>0.19798004994362228</v>
      </c>
      <c r="Q70" s="116">
        <f>IF(P70&lt;0, 0, 0.00035*(10*P70/((1/COS(M$1))-0.8))^(3/(1+1/(DATOS!E$6))))</f>
        <v>0.12411720521572409</v>
      </c>
      <c r="R70" s="116">
        <f t="shared" si="31"/>
        <v>2945405.6927991938</v>
      </c>
      <c r="S70" s="116">
        <f t="shared" si="32"/>
        <v>36781538.145457759</v>
      </c>
      <c r="T70" s="116">
        <f t="shared" si="7"/>
        <v>9.189062530864793E-2</v>
      </c>
      <c r="U70" s="116">
        <f t="shared" si="8"/>
        <v>1.3655919820861253E-2</v>
      </c>
      <c r="V70" s="116">
        <f t="shared" si="9"/>
        <v>251142.86790116044</v>
      </c>
      <c r="W70" s="116">
        <f>EDisponible!D83</f>
        <v>1.0159282867277932</v>
      </c>
      <c r="X70" s="116">
        <f t="shared" si="33"/>
        <v>0.21592828672779318</v>
      </c>
      <c r="Y70" s="116">
        <f>IF(X70&lt;0, 0, 0.00035*(10*X70/((1/COS(M$1))-0.8))^(3/(1+1/(DATOS!E$6))))</f>
        <v>0.15574025785735557</v>
      </c>
      <c r="Z70" s="116">
        <f t="shared" si="34"/>
        <v>3115325.9854830364</v>
      </c>
      <c r="AA70" s="116">
        <f t="shared" si="35"/>
        <v>31432672.432224307</v>
      </c>
      <c r="AB70" s="116">
        <f t="shared" si="10"/>
        <v>0.10752755901642645</v>
      </c>
      <c r="AC70" s="116">
        <f t="shared" si="11"/>
        <v>1.3851765235388277E-2</v>
      </c>
      <c r="AD70" s="116">
        <f t="shared" si="36"/>
        <v>217698.99962601607</v>
      </c>
      <c r="AE70" s="116">
        <f>EDisponible!E83</f>
        <v>1.0348810866017089</v>
      </c>
      <c r="AF70" s="116">
        <f t="shared" si="37"/>
        <v>0.23488108660170881</v>
      </c>
      <c r="AG70" s="116">
        <f>IF(AF70&lt;0, 0, 0.00035*(10*AF70/((1/COS(M$1))-0.8))^(3/(1+1/(DATOS!E$6))))</f>
        <v>0.19407211657893769</v>
      </c>
      <c r="AH70" s="116">
        <f t="shared" si="38"/>
        <v>3267801.6339531145</v>
      </c>
      <c r="AI70" s="116">
        <f t="shared" si="39"/>
        <v>26700278.152816337</v>
      </c>
      <c r="AJ70" s="116">
        <f t="shared" si="12"/>
        <v>0.12658589250102967</v>
      </c>
      <c r="AK70" s="116">
        <f t="shared" si="13"/>
        <v>1.4131991181805191E-2</v>
      </c>
      <c r="AL70" s="116">
        <f t="shared" si="14"/>
        <v>188664.04770367313</v>
      </c>
      <c r="AM70" s="116">
        <f>EDisponible!F83</f>
        <v>1.0549357967968573</v>
      </c>
      <c r="AN70" s="116">
        <f t="shared" si="40"/>
        <v>0.25493579679685729</v>
      </c>
      <c r="AO70" s="116">
        <f>IF(AN70&lt;0, 0, 0.00035*(10*AN70/((1/COS(M$1))-0.8))^(3/(1+1/(DATOS!E$6))))</f>
        <v>0.24045055376138152</v>
      </c>
      <c r="AP70" s="116">
        <f t="shared" si="41"/>
        <v>3398712.3814174756</v>
      </c>
      <c r="AQ70" s="116">
        <f t="shared" si="42"/>
        <v>22533289.936545674</v>
      </c>
      <c r="AR70" s="116">
        <f t="shared" si="15"/>
        <v>0.14999489863743046</v>
      </c>
      <c r="AS70" s="116">
        <f t="shared" si="16"/>
        <v>1.4538623642741022E-2</v>
      </c>
      <c r="AT70" s="116">
        <f t="shared" si="17"/>
        <v>163801.51091010065</v>
      </c>
      <c r="AU70" s="116">
        <f>EDisponible!G83</f>
        <v>1.0762035048534258</v>
      </c>
      <c r="AV70" s="116">
        <f t="shared" si="43"/>
        <v>0.27620350485342571</v>
      </c>
      <c r="AW70" s="116">
        <f>IF(AV70&lt;0, 0, 0.00035*(10*AV70/((1/COS(M$1))-0.8))^(3/(1+1/(DATOS!E$6))))</f>
        <v>0.29650832229199725</v>
      </c>
      <c r="AX70" s="116">
        <f t="shared" si="18"/>
        <v>3504455.5083122519</v>
      </c>
      <c r="AY70" s="116">
        <f t="shared" si="44"/>
        <v>18883088.734277435</v>
      </c>
      <c r="AZ70" s="116">
        <f t="shared" si="19"/>
        <v>0.17898970806956449</v>
      </c>
      <c r="BA70" s="116">
        <f t="shared" si="20"/>
        <v>1.5137714774920392E-2</v>
      </c>
      <c r="BB70" s="116">
        <f t="shared" si="21"/>
        <v>142923.40566450215</v>
      </c>
      <c r="BC70" s="116">
        <f>EDisponible!H83</f>
        <v>1.0988116371209389</v>
      </c>
      <c r="BD70" s="116">
        <f t="shared" si="45"/>
        <v>0.29881163712093883</v>
      </c>
      <c r="BE70" s="116">
        <f>IF(BD70&lt;0, 0, 0.00035*(10*BD70/((1/COS(M$1))-0.8))^(3/(1+1/(DATOS!E$6))))</f>
        <v>0.36425052840396765</v>
      </c>
      <c r="BF70" s="116">
        <f t="shared" si="22"/>
        <v>3582010.930344284</v>
      </c>
      <c r="BG70" s="116">
        <f t="shared" si="46"/>
        <v>15703476.967693554</v>
      </c>
      <c r="BH70" s="116">
        <f t="shared" si="23"/>
        <v>0.21523122216521576</v>
      </c>
      <c r="BI70" s="116">
        <f t="shared" si="24"/>
        <v>1.6035025929435596E-2</v>
      </c>
      <c r="BJ70" s="116">
        <f t="shared" si="25"/>
        <v>125902.8301796304</v>
      </c>
      <c r="BK70" s="116">
        <f>EDisponible!I83</f>
        <v>1.1229071842770977</v>
      </c>
      <c r="BL70" s="116">
        <f t="shared" si="47"/>
        <v>0.32290718427709764</v>
      </c>
      <c r="BM70" s="116">
        <f>IF(BL70&lt;0, 0, 0.00035*(10*BL70/((1/COS(M$1))-0.8))^(3/(1+1/(DATOS!E$6))))</f>
        <v>0.44615613495306072</v>
      </c>
      <c r="BN70" s="116">
        <f t="shared" si="26"/>
        <v>3629004.1247949135</v>
      </c>
    </row>
    <row r="71" spans="1:66">
      <c r="A71" s="41">
        <f>EDisponible!A84</f>
        <v>340</v>
      </c>
      <c r="B71" s="44"/>
      <c r="C71" s="116">
        <f t="shared" ref="C71" si="48">E$5*A71^2*K$3</f>
        <v>51035322.983369485</v>
      </c>
      <c r="D71" s="116">
        <f t="shared" ref="D71" si="49">2*C$4/C71</f>
        <v>6.6226259430186757E-2</v>
      </c>
      <c r="E71" s="116">
        <f t="shared" ref="E71" si="50">K$1+D71^(2)*K$2</f>
        <v>1.3401057377684631E-2</v>
      </c>
      <c r="F71" s="116">
        <f t="shared" ref="F71" si="51">0.5*C71*E71</f>
        <v>341963.64579440083</v>
      </c>
      <c r="G71" s="116">
        <f>EDisponible!B84</f>
        <v>0.99559171331290963</v>
      </c>
      <c r="H71" s="116">
        <f t="shared" si="27"/>
        <v>0.19559171331290959</v>
      </c>
      <c r="I71" s="116">
        <f>IF(H71&lt;0, 0, 0.00035*(10*H71/((1/COS(M$1))-0.8))^(3/(1+1/(DATOS!E$6))))</f>
        <v>0.12023927578865588</v>
      </c>
      <c r="J71" s="116">
        <f t="shared" si="28"/>
        <v>3410188.7833746467</v>
      </c>
      <c r="K71" s="116">
        <f t="shared" si="29"/>
        <v>44087569.844061717</v>
      </c>
      <c r="L71" s="11">
        <f t="shared" ref="L71" si="52">2*C$4/K71</f>
        <v>7.6662845150110848E-2</v>
      </c>
      <c r="M71" s="116">
        <f t="shared" ref="M71" si="53">K$1+L71^(2)*K$2</f>
        <v>1.3494717477012608E-2</v>
      </c>
      <c r="N71" s="116">
        <f t="shared" ref="N71" si="54">0.5*K71*M71</f>
        <v>297474.64964683686</v>
      </c>
      <c r="O71" s="116">
        <f>EDisponible!C84</f>
        <v>1.0128752745696465</v>
      </c>
      <c r="P71" s="116">
        <f t="shared" si="30"/>
        <v>0.2128752745696465</v>
      </c>
      <c r="Q71" s="116">
        <f>IF(P71&lt;0, 0, 0.00035*(10*P71/((1/COS(M$1))-0.8))^(3/(1+1/(DATOS!E$6))))</f>
        <v>0.1500467247190248</v>
      </c>
      <c r="R71" s="116">
        <f t="shared" si="31"/>
        <v>3605072.3776081908</v>
      </c>
      <c r="S71" s="116">
        <f t="shared" si="32"/>
        <v>37887688.212206878</v>
      </c>
      <c r="T71" s="116">
        <f t="shared" ref="T71" si="55">2*C$4/S71</f>
        <v>8.9207832398468981E-2</v>
      </c>
      <c r="U71" s="116">
        <f t="shared" ref="U71" si="56">K$1+T71^(2)*K$2</f>
        <v>1.3625405833887074E-2</v>
      </c>
      <c r="V71" s="116">
        <f t="shared" ref="V71" si="57">0.5*S71*U71</f>
        <v>258117.56399954905</v>
      </c>
      <c r="W71" s="116">
        <f>EDisponible!D84</f>
        <v>1.0310913954849243</v>
      </c>
      <c r="X71" s="116">
        <f t="shared" si="33"/>
        <v>0.2310913954849243</v>
      </c>
      <c r="Y71" s="116">
        <f>IF(X71&lt;0, 0, 0.00035*(10*X71/((1/COS(M$1))-0.8))^(3/(1+1/(DATOS!E$6))))</f>
        <v>0.18598904030827071</v>
      </c>
      <c r="Z71" s="116">
        <f t="shared" si="34"/>
        <v>3781464.949043218</v>
      </c>
      <c r="AA71" s="116">
        <f t="shared" si="35"/>
        <v>32377963.316240858</v>
      </c>
      <c r="AB71" s="116">
        <f t="shared" ref="AB71" si="58">2*C$4/AA71</f>
        <v>0.10438823798112852</v>
      </c>
      <c r="AC71" s="116">
        <f t="shared" ref="AC71" si="59">K$1+AB71^(2)*K$2</f>
        <v>1.3809982572326601E-2</v>
      </c>
      <c r="AD71" s="116">
        <f t="shared" si="36"/>
        <v>223569.55456235813</v>
      </c>
      <c r="AE71" s="116">
        <f>EDisponible!E84</f>
        <v>1.0503270729688985</v>
      </c>
      <c r="AF71" s="116">
        <f t="shared" si="37"/>
        <v>0.25032707296889845</v>
      </c>
      <c r="AG71" s="116">
        <f>IF(AF71&lt;0, 0, 0.00035*(10*AF71/((1/COS(M$1))-0.8))^(3/(1+1/(DATOS!E$6))))</f>
        <v>0.22924722614788079</v>
      </c>
      <c r="AH71" s="116">
        <f t="shared" si="38"/>
        <v>3934848.6938453862</v>
      </c>
      <c r="AI71" s="116">
        <f t="shared" si="39"/>
        <v>27503249.315799229</v>
      </c>
      <c r="AJ71" s="116">
        <f t="shared" ref="AJ71" si="60">2*C$4/AI71</f>
        <v>0.12289015385750914</v>
      </c>
      <c r="AK71" s="116">
        <f t="shared" ref="AK71" si="61">K$1+AJ71^(2)*K$2</f>
        <v>1.4074084702778204E-2</v>
      </c>
      <c r="AL71" s="116">
        <f t="shared" ref="AL71" si="62">0.5*AI71*AK71</f>
        <v>193541.53023609251</v>
      </c>
      <c r="AM71" s="116">
        <f>EDisponible!F84</f>
        <v>1.0706811071968105</v>
      </c>
      <c r="AN71" s="116">
        <f t="shared" si="40"/>
        <v>0.27068110719681049</v>
      </c>
      <c r="AO71" s="116">
        <f>IF(AN71&lt;0, 0, 0.00035*(10*AN71/((1/COS(M$1))-0.8))^(3/(1+1/(DATOS!E$6))))</f>
        <v>0.28125271199990448</v>
      </c>
      <c r="AP71" s="116">
        <f t="shared" si="41"/>
        <v>4061223.2596751177</v>
      </c>
      <c r="AQ71" s="116">
        <f t="shared" si="42"/>
        <v>23210945.12510296</v>
      </c>
      <c r="AR71" s="116">
        <f t="shared" ref="AR71" si="63">2*C$4/AQ71</f>
        <v>0.14561572231475461</v>
      </c>
      <c r="AS71" s="116">
        <f t="shared" ref="AS71" si="64">K$1+AR71^(2)*K$2</f>
        <v>1.4457320090568293E-2</v>
      </c>
      <c r="AT71" s="116">
        <f t="shared" ref="AT71" si="65">0.5*AQ71*AS71</f>
        <v>167784.0316391146</v>
      </c>
      <c r="AU71" s="116">
        <f>EDisponible!G84</f>
        <v>1.0922662437318351</v>
      </c>
      <c r="AV71" s="116">
        <f t="shared" si="43"/>
        <v>0.29226624373183507</v>
      </c>
      <c r="AW71" s="116">
        <f>IF(AV71&lt;0, 0, 0.00035*(10*AV71/((1/COS(M$1))-0.8))^(3/(1+1/(DATOS!E$6))))</f>
        <v>0.34375039101234928</v>
      </c>
      <c r="AX71" s="116">
        <f t="shared" ref="AX71" si="66">0.5*AQ71*(AS71+AW71)</f>
        <v>4157169.7628992768</v>
      </c>
      <c r="AY71" s="116">
        <f t="shared" si="44"/>
        <v>19450969.549409412</v>
      </c>
      <c r="AZ71" s="116">
        <f t="shared" ref="AZ71" si="67">2*C$4/AY71</f>
        <v>0.17376401373794875</v>
      </c>
      <c r="BA71" s="116">
        <f t="shared" ref="BA71" si="68">K$1+AZ71^(2)*K$2</f>
        <v>1.5021940342070042E-2</v>
      </c>
      <c r="BB71" s="116">
        <f t="shared" ref="BB71" si="69">0.5*AY71*BA71</f>
        <v>146095.65208332459</v>
      </c>
      <c r="BC71" s="116">
        <f>EDisponible!H84</f>
        <v>1.115211810809311</v>
      </c>
      <c r="BD71" s="116">
        <f t="shared" si="45"/>
        <v>0.31521181080931093</v>
      </c>
      <c r="BE71" s="116">
        <f>IF(BD71&lt;0, 0, 0.00035*(10*BD71/((1/COS(M$1))-0.8))^(3/(1+1/(DATOS!E$6))))</f>
        <v>0.41888048235679293</v>
      </c>
      <c r="BF71" s="116">
        <f t="shared" ref="BF71" si="70">0.5*AY71*(BA71+BE71)</f>
        <v>4219911.4056652775</v>
      </c>
      <c r="BG71" s="116">
        <f t="shared" si="46"/>
        <v>16175735.686926933</v>
      </c>
      <c r="BH71" s="116">
        <f t="shared" ref="BH71" si="71">2*C$4/BG71</f>
        <v>0.20894743864611881</v>
      </c>
      <c r="BI71" s="116">
        <f t="shared" ref="BI71" si="72">K$1+BH71^(2)*K$2</f>
        <v>1.5867621445535298E-2</v>
      </c>
      <c r="BJ71" s="116">
        <f t="shared" ref="BJ71" si="73">0.5*BG71*BI71</f>
        <v>128335.22524159623</v>
      </c>
      <c r="BK71" s="116">
        <f>EDisponible!I84</f>
        <v>1.1396669929976513</v>
      </c>
      <c r="BL71" s="116">
        <f t="shared" si="47"/>
        <v>0.33966699299765124</v>
      </c>
      <c r="BM71" s="116">
        <f>IF(BL71&lt;0, 0, 0.00035*(10*BL71/((1/COS(M$1))-0.8))^(3/(1+1/(DATOS!E$6))))</f>
        <v>0.50928585844650409</v>
      </c>
      <c r="BN71" s="116">
        <f t="shared" ref="BN71" si="74">0.5*BG71*(BI71+BM71)</f>
        <v>4247371.9429017641</v>
      </c>
    </row>
    <row r="105" spans="1:34">
      <c r="M105">
        <f>MAX(M108:M172)</f>
        <v>15.912091700656067</v>
      </c>
      <c r="Q105">
        <f>MAX(Q108:Q172)</f>
        <v>12.471991484178652</v>
      </c>
      <c r="R105">
        <f>MAX(R108:R172)</f>
        <v>3.5243632111475951</v>
      </c>
      <c r="U105">
        <f>MAX(U108:U172)</f>
        <v>8.7340093250092252</v>
      </c>
      <c r="Y105">
        <f>MAX(Y108:Y172)</f>
        <v>5.4166848509009498</v>
      </c>
      <c r="AC105">
        <f>MAX(AC108:AC172)</f>
        <v>2.4201072223865681</v>
      </c>
      <c r="AG105">
        <f>MAX(AG108:AG172)</f>
        <v>-0.42801755884786835</v>
      </c>
      <c r="AH105" t="e">
        <f>max</f>
        <v>#NAME?</v>
      </c>
    </row>
    <row r="106" spans="1:34">
      <c r="A106" s="125"/>
      <c r="B106" s="126"/>
      <c r="C106" s="117"/>
      <c r="D106" s="117" t="s">
        <v>64</v>
      </c>
      <c r="E106" s="117"/>
      <c r="F106" s="117"/>
      <c r="G106" s="117"/>
      <c r="H106" s="127" t="s">
        <v>78</v>
      </c>
      <c r="I106" s="117"/>
      <c r="J106" s="117"/>
      <c r="K106" s="117"/>
      <c r="L106" s="117"/>
      <c r="M106" s="117"/>
      <c r="N106" s="117"/>
      <c r="O106" s="117"/>
      <c r="P106" s="117" t="s">
        <v>82</v>
      </c>
      <c r="Q106" s="117"/>
      <c r="R106" s="117"/>
      <c r="S106" s="117"/>
      <c r="T106" s="117" t="s">
        <v>83</v>
      </c>
      <c r="U106" s="117"/>
      <c r="V106" s="117"/>
      <c r="W106" s="117"/>
      <c r="X106" s="117" t="s">
        <v>84</v>
      </c>
      <c r="Y106" s="117"/>
      <c r="Z106" s="117"/>
      <c r="AA106" s="117"/>
      <c r="AB106" s="117" t="s">
        <v>85</v>
      </c>
      <c r="AC106" s="117"/>
      <c r="AD106" s="117"/>
      <c r="AE106" s="117"/>
      <c r="AF106" s="117" t="s">
        <v>86</v>
      </c>
      <c r="AG106" s="117"/>
    </row>
    <row r="107" spans="1:34">
      <c r="A107" s="125" t="s">
        <v>157</v>
      </c>
      <c r="B107" s="126"/>
      <c r="C107" s="124" t="s">
        <v>159</v>
      </c>
      <c r="D107" s="124" t="s">
        <v>158</v>
      </c>
      <c r="E107" s="124" t="s">
        <v>160</v>
      </c>
      <c r="F107" s="124"/>
      <c r="G107" s="124" t="s">
        <v>159</v>
      </c>
      <c r="H107" s="124" t="s">
        <v>158</v>
      </c>
      <c r="I107" s="124" t="s">
        <v>160</v>
      </c>
      <c r="J107" s="124"/>
      <c r="K107" s="124" t="s">
        <v>159</v>
      </c>
      <c r="L107" s="124" t="s">
        <v>158</v>
      </c>
      <c r="M107" s="124" t="s">
        <v>160</v>
      </c>
      <c r="N107" s="124"/>
      <c r="O107" s="124" t="s">
        <v>159</v>
      </c>
      <c r="P107" s="124" t="s">
        <v>158</v>
      </c>
      <c r="Q107" s="124" t="s">
        <v>160</v>
      </c>
      <c r="R107" s="124"/>
      <c r="S107" s="124" t="s">
        <v>159</v>
      </c>
      <c r="T107" s="124" t="s">
        <v>158</v>
      </c>
      <c r="U107" s="124" t="s">
        <v>160</v>
      </c>
      <c r="V107" s="124"/>
      <c r="W107" s="124" t="s">
        <v>159</v>
      </c>
      <c r="X107" s="124" t="s">
        <v>158</v>
      </c>
      <c r="Y107" s="124" t="s">
        <v>160</v>
      </c>
      <c r="Z107" s="124"/>
      <c r="AA107" s="124" t="s">
        <v>159</v>
      </c>
      <c r="AB107" s="124" t="s">
        <v>158</v>
      </c>
      <c r="AC107" s="124" t="s">
        <v>160</v>
      </c>
      <c r="AD107" s="124"/>
      <c r="AE107" s="124" t="s">
        <v>158</v>
      </c>
      <c r="AF107" s="124" t="s">
        <v>159</v>
      </c>
      <c r="AG107" s="124" t="s">
        <v>160</v>
      </c>
    </row>
    <row r="108" spans="1:34">
      <c r="A108" s="125">
        <v>20</v>
      </c>
      <c r="B108" s="126"/>
      <c r="C108" s="129">
        <f>EDisponible!P20</f>
        <v>400275.57966900425</v>
      </c>
      <c r="D108" s="129">
        <f>J7</f>
        <v>2032562.5612052947</v>
      </c>
      <c r="E108" s="129">
        <f>(((C108-D108)/$C$4)*A108)</f>
        <v>-19.31769987848487</v>
      </c>
      <c r="F108" s="129">
        <f>180*ATAN(E108/A108)/PI()</f>
        <v>-44.005816872545417</v>
      </c>
      <c r="G108" s="129">
        <f>EDisponible!V20</f>
        <v>334236.46517328115</v>
      </c>
      <c r="H108" s="129">
        <f>R7</f>
        <v>2352533.3611152801</v>
      </c>
      <c r="I108" s="129">
        <f>((G108-H108)/$C$4)*A108</f>
        <v>-23.886028708499079</v>
      </c>
      <c r="J108" s="129">
        <f>180*ATAN(I108/A108)/PI()</f>
        <v>-50.060240086893316</v>
      </c>
      <c r="K108" s="129">
        <f>EDisponible!AB20</f>
        <v>276862.60412427573</v>
      </c>
      <c r="L108" s="129">
        <f>Z7</f>
        <v>2737193.5948021938</v>
      </c>
      <c r="M108" s="129">
        <f>((K108-L108)/$C$4)*A108</f>
        <v>-29.117389415750047</v>
      </c>
      <c r="N108" s="129">
        <f>180*ATAN(M108/A108)/PI()</f>
        <v>-55.515809784009633</v>
      </c>
      <c r="O108" s="129">
        <f>EDisponible!AH20</f>
        <v>227745.37994044076</v>
      </c>
      <c r="P108" s="129">
        <f>AH7</f>
        <v>3202707.5007068072</v>
      </c>
      <c r="Q108" s="129">
        <f>((O108-P108)/$C$4)*A108</f>
        <v>-35.207917510152498</v>
      </c>
      <c r="R108" s="129">
        <f>180*ATAN(Q108/A108)/PI()</f>
        <v>-60.401083747264614</v>
      </c>
      <c r="S108" s="129">
        <f>EDisponible!AN20</f>
        <v>185941.95939726426</v>
      </c>
      <c r="T108" s="129">
        <f>AP7</f>
        <v>3770118.7972328034</v>
      </c>
      <c r="U108" s="129">
        <f>((S108-T108)/$C$4)*A108</f>
        <v>-42.41781821941494</v>
      </c>
      <c r="V108" s="129">
        <f>180*ATAN(U108/A108)/PI()</f>
        <v>-64.756123860989746</v>
      </c>
      <c r="W108" s="129">
        <f>EDisponible!AT20</f>
        <v>150587.08192722261</v>
      </c>
      <c r="X108" s="129">
        <f>AX7</f>
        <v>4467098.3209131118</v>
      </c>
      <c r="Y108" s="129">
        <f>((W108-X108)/$C$4)*A108</f>
        <v>-51.084808970512761</v>
      </c>
      <c r="Z108" s="129">
        <f>180*ATAN(Y108/A108)/PI()</f>
        <v>-68.61936776082122</v>
      </c>
      <c r="AA108" s="129">
        <f>EDisponible!AZ20</f>
        <v>120889.344086343</v>
      </c>
      <c r="AB108" s="129">
        <f>BF7</f>
        <v>5330424.8453336721</v>
      </c>
      <c r="AC108" s="129">
        <f>((AA108-AB108)/$C$4)*A108</f>
        <v>-61.653523220953723</v>
      </c>
      <c r="AD108" s="129">
        <f>180*ATAN(AC108/A108)/PI()</f>
        <v>-72.027275919846574</v>
      </c>
      <c r="AE108" s="129">
        <f>EDisponible!BF20</f>
        <v>96127.523830610546</v>
      </c>
      <c r="AF108" s="129">
        <f>BN7</f>
        <v>6409555.8670220152</v>
      </c>
      <c r="AG108" s="129">
        <f>((AE108-AF108)/$C$4)*A108</f>
        <v>-74.717813299780943</v>
      </c>
      <c r="AH108">
        <f>180*ATAN(AG108/A108)/PI()</f>
        <v>-75.014723581863919</v>
      </c>
    </row>
    <row r="109" spans="1:34">
      <c r="A109" s="125">
        <v>25</v>
      </c>
      <c r="B109" s="126"/>
      <c r="C109" s="129">
        <f>EDisponible!P21</f>
        <v>394107.52705885581</v>
      </c>
      <c r="D109" s="129">
        <f t="shared" ref="D109:D172" si="75">J8</f>
        <v>1301909.1642182663</v>
      </c>
      <c r="E109" s="129">
        <f t="shared" ref="E109:E172" si="76">(((C109-D109)/$C$4)*A109)</f>
        <v>-13.429500889097193</v>
      </c>
      <c r="F109" s="134">
        <f t="shared" ref="F109:F172" si="77">180*ATAN(E109/A109)/PI()</f>
        <v>-28.24380433037468</v>
      </c>
      <c r="G109" s="129">
        <f>EDisponible!V21</f>
        <v>329339.72843682423</v>
      </c>
      <c r="H109" s="129">
        <f t="shared" ref="H109:H172" si="78">R8</f>
        <v>1506544.9295771036</v>
      </c>
      <c r="I109" s="129">
        <f t="shared" ref="I109:I172" si="79">((G109-H109)/$C$4)*A109</f>
        <v>-17.414903926403806</v>
      </c>
      <c r="J109" s="134">
        <f t="shared" ref="J109:J172" si="80">180*ATAN(I109/A109)/PI()</f>
        <v>-34.86092096143998</v>
      </c>
      <c r="K109" s="129">
        <f>EDisponible!AB21</f>
        <v>272775.07142245333</v>
      </c>
      <c r="L109" s="129">
        <f t="shared" ref="L109:L172" si="81">Z8</f>
        <v>1752597.5995091922</v>
      </c>
      <c r="M109" s="129">
        <f t="shared" ref="M109:M172" si="82">((K109-L109)/$C$4)*A109</f>
        <v>-21.891652474688321</v>
      </c>
      <c r="N109" s="134">
        <f t="shared" ref="N109:N172" si="83">180*ATAN(M109/A109)/PI()</f>
        <v>-41.20753341481997</v>
      </c>
      <c r="O109" s="129">
        <f>EDisponible!AH21</f>
        <v>224356.24323601104</v>
      </c>
      <c r="P109" s="129">
        <f t="shared" ref="P109:P172" si="84">AH8</f>
        <v>2050411.0775656325</v>
      </c>
      <c r="Q109" s="129">
        <f t="shared" ref="Q109:Q172" si="85">((O109-P109)/$C$4)*A109</f>
        <v>-27.013616210149689</v>
      </c>
      <c r="R109" s="134">
        <f t="shared" ref="R109:R172" si="86">180*ATAN(Q109/A109)/PI()</f>
        <v>-47.21699881887713</v>
      </c>
      <c r="S109" s="129">
        <f>EDisponible!AN21</f>
        <v>183152.21965319422</v>
      </c>
      <c r="T109" s="129">
        <f t="shared" ref="T109:T172" si="87">AP8</f>
        <v>2413452.1882896298</v>
      </c>
      <c r="U109" s="129">
        <f t="shared" ref="U109:U172" si="88">((S109-T109)/$C$4)*A109</f>
        <v>-32.99378871520684</v>
      </c>
      <c r="V109" s="134">
        <f t="shared" ref="V109:V172" si="89">180*ATAN(U109/A109)/PI()</f>
        <v>-52.848121893476964</v>
      </c>
      <c r="W109" s="129">
        <f>EDisponible!AT21</f>
        <v>148308.67613790097</v>
      </c>
      <c r="X109" s="129">
        <f t="shared" ref="X109:X172" si="90">AX8</f>
        <v>2859429.1651364751</v>
      </c>
      <c r="Y109" s="129">
        <f t="shared" ref="Y109:Y172" si="91">((W109-X109)/$C$4)*A109</f>
        <v>-40.106773910854415</v>
      </c>
      <c r="Z109" s="134">
        <f t="shared" ref="Z109:Z172" si="92">180*ATAN(Y109/A109)/PI()</f>
        <v>-58.063223206858872</v>
      </c>
      <c r="AA109" s="129">
        <f>EDisponible!AZ21</f>
        <v>119044.30609208034</v>
      </c>
      <c r="AB109" s="129">
        <f t="shared" ref="AB109:AB172" si="93">BF8</f>
        <v>3411879.3740638937</v>
      </c>
      <c r="AC109" s="129">
        <f t="shared" ref="AC109:AC172" si="94">((AA109-AB109)/$C$4)*A109</f>
        <v>-48.712328401774663</v>
      </c>
      <c r="AD109" s="134">
        <f t="shared" ref="AD109:AD172" si="95">180*ATAN(AC109/A109)/PI()</f>
        <v>-62.832329796699938</v>
      </c>
      <c r="AE109" s="129">
        <f>EDisponible!BF21</f>
        <v>94647.17889857688</v>
      </c>
      <c r="AF109" s="129">
        <f t="shared" ref="AF109:AF172" si="96">BN8</f>
        <v>4102454.6159644937</v>
      </c>
      <c r="AG109" s="129">
        <f t="shared" ref="AG109:AG172" si="97">((AE109-AF109)/$C$4)*A109</f>
        <v>-59.289222817248302</v>
      </c>
      <c r="AH109" s="134">
        <f t="shared" ref="AH109:AH172" si="98">180*ATAN(AG109/A109)/PI()</f>
        <v>-67.136705790290051</v>
      </c>
    </row>
    <row r="110" spans="1:34">
      <c r="A110" s="125">
        <v>30</v>
      </c>
      <c r="B110" s="126"/>
      <c r="C110" s="129">
        <f>EDisponible!P22</f>
        <v>388581.86155327468</v>
      </c>
      <c r="D110" s="129">
        <f t="shared" si="75"/>
        <v>905453.67453890946</v>
      </c>
      <c r="E110" s="129">
        <f t="shared" si="76"/>
        <v>-9.1755690070265334</v>
      </c>
      <c r="F110" s="134">
        <f t="shared" si="77"/>
        <v>-17.00637237200484</v>
      </c>
      <c r="G110" s="129">
        <f>EDisponible!V22</f>
        <v>325045.46704388177</v>
      </c>
      <c r="H110" s="129">
        <f t="shared" si="78"/>
        <v>1047378.0490869503</v>
      </c>
      <c r="I110" s="129">
        <f t="shared" si="79"/>
        <v>-12.822932661534077</v>
      </c>
      <c r="J110" s="134">
        <f t="shared" si="80"/>
        <v>-23.143369517547821</v>
      </c>
      <c r="K110" s="129">
        <f>EDisponible!AB22</f>
        <v>269193.45778318925</v>
      </c>
      <c r="L110" s="129">
        <f t="shared" si="81"/>
        <v>1218083.9471125142</v>
      </c>
      <c r="M110" s="129">
        <f t="shared" si="82"/>
        <v>-16.84481518668996</v>
      </c>
      <c r="N110" s="134">
        <f t="shared" si="83"/>
        <v>-29.313942195496558</v>
      </c>
      <c r="O110" s="129">
        <f>EDisponible!AH22</f>
        <v>221389.24380271847</v>
      </c>
      <c r="P110" s="129">
        <f t="shared" si="84"/>
        <v>1424753.1081841439</v>
      </c>
      <c r="Q110" s="129">
        <f t="shared" si="85"/>
        <v>-21.362256367616553</v>
      </c>
      <c r="R110" s="134">
        <f t="shared" si="86"/>
        <v>-35.453725627809789</v>
      </c>
      <c r="S110" s="129">
        <f>EDisponible!AN22</f>
        <v>180712.3015169237</v>
      </c>
      <c r="T110" s="129">
        <f t="shared" si="87"/>
        <v>1676736.0349622862</v>
      </c>
      <c r="U110" s="129">
        <f t="shared" si="88"/>
        <v>-26.557588666106845</v>
      </c>
      <c r="V110" s="134">
        <f t="shared" si="89"/>
        <v>-41.516955119631568</v>
      </c>
      <c r="W110" s="129">
        <f>EDisponible!AT22</f>
        <v>146318.02622370634</v>
      </c>
      <c r="X110" s="129">
        <f t="shared" si="90"/>
        <v>1986328.7202819323</v>
      </c>
      <c r="Y110" s="129">
        <f t="shared" si="91"/>
        <v>-32.66408550985787</v>
      </c>
      <c r="Z110" s="134">
        <f t="shared" si="92"/>
        <v>-47.434392719963753</v>
      </c>
      <c r="AA110" s="129">
        <f>EDisponible!AZ22</f>
        <v>117434.08080146959</v>
      </c>
      <c r="AB110" s="129">
        <f t="shared" si="93"/>
        <v>2369875.2323215101</v>
      </c>
      <c r="AC110" s="129">
        <f t="shared" si="94"/>
        <v>-39.98559933198144</v>
      </c>
      <c r="AD110" s="134">
        <f t="shared" si="95"/>
        <v>-53.120198902397867</v>
      </c>
      <c r="AE110" s="129">
        <f>EDisponible!BF22</f>
        <v>93356.784181137176</v>
      </c>
      <c r="AF110" s="129">
        <f t="shared" si="96"/>
        <v>2849354.7295038006</v>
      </c>
      <c r="AG110" s="129">
        <f t="shared" si="97"/>
        <v>-48.924798557808472</v>
      </c>
      <c r="AH110" s="134">
        <f t="shared" si="98"/>
        <v>-58.483958532242518</v>
      </c>
    </row>
    <row r="111" spans="1:34">
      <c r="A111" s="125">
        <v>35</v>
      </c>
      <c r="B111" s="126"/>
      <c r="C111" s="129">
        <f>EDisponible!P23</f>
        <v>383549.3063924039</v>
      </c>
      <c r="D111" s="129">
        <f t="shared" si="75"/>
        <v>666864.73049028555</v>
      </c>
      <c r="E111" s="129">
        <f t="shared" si="76"/>
        <v>-5.8676900522146322</v>
      </c>
      <c r="F111" s="134">
        <f t="shared" si="77"/>
        <v>-9.5170361225807376</v>
      </c>
      <c r="G111" s="129">
        <f>EDisponible!V23</f>
        <v>321226.93330681021</v>
      </c>
      <c r="H111" s="129">
        <f t="shared" si="78"/>
        <v>770913.32664788305</v>
      </c>
      <c r="I111" s="129">
        <f t="shared" si="79"/>
        <v>-9.3133664897541255</v>
      </c>
      <c r="J111" s="134">
        <f t="shared" si="80"/>
        <v>-14.900896714636362</v>
      </c>
      <c r="K111" s="129">
        <f>EDisponible!AB23</f>
        <v>266011.64432018233</v>
      </c>
      <c r="L111" s="129">
        <f t="shared" si="81"/>
        <v>896131.46860136406</v>
      </c>
      <c r="M111" s="129">
        <f t="shared" si="82"/>
        <v>-13.05028780699401</v>
      </c>
      <c r="N111" s="134">
        <f t="shared" si="83"/>
        <v>-20.448743280005409</v>
      </c>
      <c r="O111" s="129">
        <f>EDisponible!AH23</f>
        <v>218756.1133526059</v>
      </c>
      <c r="P111" s="129">
        <f t="shared" si="84"/>
        <v>1047793.6891970806</v>
      </c>
      <c r="Q111" s="129">
        <f t="shared" si="85"/>
        <v>-17.170034254873912</v>
      </c>
      <c r="R111" s="134">
        <f t="shared" si="86"/>
        <v>-26.131294701805814</v>
      </c>
      <c r="S111" s="129">
        <f>EDisponible!AN23</f>
        <v>178549.29974566438</v>
      </c>
      <c r="T111" s="129">
        <f t="shared" si="87"/>
        <v>1232767.9804692261</v>
      </c>
      <c r="U111" s="129">
        <f t="shared" si="88"/>
        <v>-21.83371585022973</v>
      </c>
      <c r="V111" s="134">
        <f t="shared" si="89"/>
        <v>-31.956758378621775</v>
      </c>
      <c r="W111" s="129">
        <f>EDisponible!AT23</f>
        <v>144555.37205127068</v>
      </c>
      <c r="X111" s="129">
        <f t="shared" si="90"/>
        <v>1460086.4494981745</v>
      </c>
      <c r="Y111" s="129">
        <f t="shared" si="91"/>
        <v>-27.245705528010859</v>
      </c>
      <c r="Z111" s="134">
        <f t="shared" si="92"/>
        <v>-37.898928619775063</v>
      </c>
      <c r="AA111" s="129">
        <f>EDisponible!AZ23</f>
        <v>116010.08463198144</v>
      </c>
      <c r="AB111" s="129">
        <f t="shared" si="93"/>
        <v>1741755.3801877494</v>
      </c>
      <c r="AC111" s="129">
        <f t="shared" si="94"/>
        <v>-33.670491215019744</v>
      </c>
      <c r="AD111" s="134">
        <f t="shared" si="95"/>
        <v>-43.890852166071781</v>
      </c>
      <c r="AE111" s="129">
        <f>EDisponible!BF23</f>
        <v>92217.194016871043</v>
      </c>
      <c r="AF111" s="129">
        <f t="shared" si="96"/>
        <v>2093921.2025772023</v>
      </c>
      <c r="AG111" s="129">
        <f t="shared" si="97"/>
        <v>-41.456898211266257</v>
      </c>
      <c r="AH111" s="134">
        <f t="shared" si="98"/>
        <v>-49.827259035203461</v>
      </c>
    </row>
    <row r="112" spans="1:34">
      <c r="A112" s="125">
        <v>40</v>
      </c>
      <c r="B112" s="126"/>
      <c r="C112" s="129">
        <f>EDisponible!P24</f>
        <v>378912.14922960958</v>
      </c>
      <c r="D112" s="129">
        <f t="shared" si="75"/>
        <v>512486.67707724753</v>
      </c>
      <c r="E112" s="129">
        <f t="shared" si="76"/>
        <v>-3.1616408996197349</v>
      </c>
      <c r="F112" s="134">
        <f t="shared" si="77"/>
        <v>-4.5193211643806679</v>
      </c>
      <c r="G112" s="129">
        <f>EDisponible!V24</f>
        <v>317800.95200322341</v>
      </c>
      <c r="H112" s="129">
        <f t="shared" si="78"/>
        <v>591887.72427607304</v>
      </c>
      <c r="I112" s="129">
        <f t="shared" si="79"/>
        <v>-6.4874940097190503</v>
      </c>
      <c r="J112" s="134">
        <f t="shared" si="80"/>
        <v>-9.2124327279046678</v>
      </c>
      <c r="K112" s="129">
        <f>EDisponible!AB24</f>
        <v>263159.97879810218</v>
      </c>
      <c r="L112" s="129">
        <f t="shared" si="81"/>
        <v>687524.81673220568</v>
      </c>
      <c r="M112" s="129">
        <f t="shared" si="82"/>
        <v>-10.044499124139614</v>
      </c>
      <c r="N112" s="134">
        <f t="shared" si="83"/>
        <v>-14.096218617658351</v>
      </c>
      <c r="O112" s="129">
        <f>EDisponible!AH24</f>
        <v>216398.90358652564</v>
      </c>
      <c r="P112" s="129">
        <f t="shared" si="84"/>
        <v>803434.09921440901</v>
      </c>
      <c r="Q112" s="129">
        <f t="shared" si="85"/>
        <v>-13.894823466120965</v>
      </c>
      <c r="R112" s="134">
        <f t="shared" si="86"/>
        <v>-19.155723165145602</v>
      </c>
      <c r="S112" s="129">
        <f>EDisponible!AN24</f>
        <v>176615.34097112293</v>
      </c>
      <c r="T112" s="129">
        <f t="shared" si="87"/>
        <v>944871.80524574546</v>
      </c>
      <c r="U112" s="129">
        <f t="shared" si="88"/>
        <v>-18.184238402238503</v>
      </c>
      <c r="V112" s="134">
        <f t="shared" si="89"/>
        <v>-24.446827810525349</v>
      </c>
      <c r="W112" s="129">
        <f>EDisponible!AT24</f>
        <v>142981.46249281822</v>
      </c>
      <c r="X112" s="129">
        <f t="shared" si="90"/>
        <v>1118751.1645863412</v>
      </c>
      <c r="Y112" s="129">
        <f t="shared" si="91"/>
        <v>-23.09597082961503</v>
      </c>
      <c r="Z112" s="134">
        <f t="shared" si="92"/>
        <v>-30.002105641856602</v>
      </c>
      <c r="AA112" s="129">
        <f>EDisponible!AZ24</f>
        <v>114740.39910660741</v>
      </c>
      <c r="AB112" s="129">
        <f t="shared" si="93"/>
        <v>1334262.6058470111</v>
      </c>
      <c r="AC112" s="129">
        <f t="shared" si="94"/>
        <v>-28.865468206804941</v>
      </c>
      <c r="AD112" s="134">
        <f t="shared" si="95"/>
        <v>-35.815599279680924</v>
      </c>
      <c r="AE112" s="129">
        <f>EDisponible!BF24</f>
        <v>91202.68339200347</v>
      </c>
      <c r="AF112" s="129">
        <f t="shared" si="96"/>
        <v>1603766.4507815365</v>
      </c>
      <c r="AG112" s="129">
        <f t="shared" si="97"/>
        <v>-35.801612383136899</v>
      </c>
      <c r="AH112" s="134">
        <f t="shared" si="98"/>
        <v>-41.829825121512172</v>
      </c>
    </row>
    <row r="113" spans="1:34">
      <c r="A113" s="125">
        <v>45</v>
      </c>
      <c r="B113" s="126"/>
      <c r="C113" s="129">
        <f>EDisponible!P25</f>
        <v>374602.13330298528</v>
      </c>
      <c r="D113" s="129">
        <f t="shared" si="75"/>
        <v>407132.06185787724</v>
      </c>
      <c r="E113" s="129">
        <f t="shared" si="76"/>
        <v>-0.86621265684307003</v>
      </c>
      <c r="F113" s="134">
        <f t="shared" si="77"/>
        <v>-1.1027600202051357</v>
      </c>
      <c r="G113" s="129">
        <f>EDisponible!V25</f>
        <v>314709.30068997206</v>
      </c>
      <c r="H113" s="129">
        <f t="shared" si="78"/>
        <v>469568.60448011308</v>
      </c>
      <c r="I113" s="129">
        <f t="shared" si="79"/>
        <v>-4.1236207680743142</v>
      </c>
      <c r="J113" s="134">
        <f t="shared" si="80"/>
        <v>-5.2357346024294031</v>
      </c>
      <c r="K113" s="129">
        <f>EDisponible!AB25</f>
        <v>260589.69493708402</v>
      </c>
      <c r="L113" s="129">
        <f t="shared" si="81"/>
        <v>544865.92936207925</v>
      </c>
      <c r="M113" s="129">
        <f t="shared" si="82"/>
        <v>-7.5697575505922092</v>
      </c>
      <c r="N113" s="134">
        <f t="shared" si="83"/>
        <v>-9.548718008003414</v>
      </c>
      <c r="O113" s="129">
        <f>EDisponible!AH25</f>
        <v>214277.03395216566</v>
      </c>
      <c r="P113" s="129">
        <f t="shared" si="84"/>
        <v>636210.59634491324</v>
      </c>
      <c r="Q113" s="129">
        <f t="shared" si="85"/>
        <v>-11.235321082084591</v>
      </c>
      <c r="R113" s="134">
        <f t="shared" si="86"/>
        <v>-14.018651738256777</v>
      </c>
      <c r="S113" s="129">
        <f>EDisponible!AN25</f>
        <v>174876.89246838962</v>
      </c>
      <c r="T113" s="129">
        <f t="shared" si="87"/>
        <v>747753.29697113414</v>
      </c>
      <c r="U113" s="129">
        <f t="shared" si="88"/>
        <v>-15.254653619963223</v>
      </c>
      <c r="V113" s="134">
        <f t="shared" si="89"/>
        <v>-18.726263299694079</v>
      </c>
      <c r="W113" s="129">
        <f>EDisponible!AT25</f>
        <v>141568.79772747718</v>
      </c>
      <c r="X113" s="129">
        <f t="shared" si="90"/>
        <v>884954.0642909829</v>
      </c>
      <c r="Y113" s="129">
        <f t="shared" si="91"/>
        <v>-19.794993577111065</v>
      </c>
      <c r="Z113" s="134">
        <f t="shared" si="92"/>
        <v>-23.744153811720004</v>
      </c>
      <c r="AA113" s="129">
        <f>EDisponible!AZ25</f>
        <v>113602.65616168822</v>
      </c>
      <c r="AB113" s="129">
        <f t="shared" si="93"/>
        <v>1055072.3084215079</v>
      </c>
      <c r="AC113" s="129">
        <f t="shared" si="94"/>
        <v>-25.069619425845929</v>
      </c>
      <c r="AD113" s="134">
        <f t="shared" si="95"/>
        <v>-29.122295634031378</v>
      </c>
      <c r="AE113" s="129">
        <f>EDisponible!BF25</f>
        <v>90295.219788021801</v>
      </c>
      <c r="AF113" s="129">
        <f t="shared" si="96"/>
        <v>1267872.1541410026</v>
      </c>
      <c r="AG113" s="129">
        <f t="shared" si="97"/>
        <v>-31.356725644871329</v>
      </c>
      <c r="AH113" s="134">
        <f t="shared" si="98"/>
        <v>-34.869405722993804</v>
      </c>
    </row>
    <row r="114" spans="1:34">
      <c r="A114" s="125">
        <v>50</v>
      </c>
      <c r="B114" s="126"/>
      <c r="C114" s="129">
        <f>EDisponible!P26</f>
        <v>370569.21778295178</v>
      </c>
      <c r="D114" s="129">
        <f t="shared" si="75"/>
        <v>332267.97351694759</v>
      </c>
      <c r="E114" s="129">
        <f t="shared" si="76"/>
        <v>1.1332136292094148</v>
      </c>
      <c r="F114" s="134">
        <f t="shared" si="77"/>
        <v>1.2983448886352498</v>
      </c>
      <c r="G114" s="129">
        <f>EDisponible!V26</f>
        <v>311909.24120599497</v>
      </c>
      <c r="H114" s="129">
        <f t="shared" si="78"/>
        <v>382502.45738998381</v>
      </c>
      <c r="I114" s="129">
        <f t="shared" si="79"/>
        <v>-2.0886317466304227</v>
      </c>
      <c r="J114" s="134">
        <f t="shared" si="80"/>
        <v>-2.3920050154620829</v>
      </c>
      <c r="K114" s="129">
        <f>EDisponible!AB26</f>
        <v>258264.98898923802</v>
      </c>
      <c r="L114" s="129">
        <f t="shared" si="81"/>
        <v>443190.67805176228</v>
      </c>
      <c r="M114" s="129">
        <f t="shared" si="82"/>
        <v>-5.4713708458447821</v>
      </c>
      <c r="N114" s="134">
        <f t="shared" si="83"/>
        <v>-6.244882095663475</v>
      </c>
      <c r="O114" s="129">
        <f>EDisponible!AH26</f>
        <v>212360.70461323031</v>
      </c>
      <c r="P114" s="129">
        <f t="shared" si="84"/>
        <v>516910.93195032561</v>
      </c>
      <c r="Q114" s="129">
        <f t="shared" si="85"/>
        <v>-9.0106855537209718</v>
      </c>
      <c r="R114" s="134">
        <f t="shared" si="86"/>
        <v>-10.215833743228512</v>
      </c>
      <c r="S114" s="129">
        <f>EDisponible!AN26</f>
        <v>173309.32473766958</v>
      </c>
      <c r="T114" s="129">
        <f t="shared" si="87"/>
        <v>607022.58759982127</v>
      </c>
      <c r="U114" s="129">
        <f t="shared" si="88"/>
        <v>-12.832214463604711</v>
      </c>
      <c r="V114" s="134">
        <f t="shared" si="89"/>
        <v>-14.393975766432476</v>
      </c>
      <c r="W114" s="129">
        <f>EDisponible!AT26</f>
        <v>140297.17496589827</v>
      </c>
      <c r="X114" s="129">
        <f t="shared" si="90"/>
        <v>717945.7043435931</v>
      </c>
      <c r="Y114" s="129">
        <f t="shared" si="91"/>
        <v>-17.09080733349947</v>
      </c>
      <c r="Z114" s="134">
        <f t="shared" si="92"/>
        <v>-18.871256495049465</v>
      </c>
      <c r="AA114" s="129">
        <f>EDisponible!AZ26</f>
        <v>112580.41932494218</v>
      </c>
      <c r="AB114" s="129">
        <f t="shared" si="93"/>
        <v>855557.95994346251</v>
      </c>
      <c r="AC114" s="129">
        <f t="shared" si="94"/>
        <v>-21.982373976625809</v>
      </c>
      <c r="AD114" s="134">
        <f t="shared" si="95"/>
        <v>-23.732570431652213</v>
      </c>
      <c r="AE114" s="129">
        <f>EDisponible!BF26</f>
        <v>89481.549433684137</v>
      </c>
      <c r="AF114" s="129">
        <f t="shared" si="96"/>
        <v>1027765.9727817993</v>
      </c>
      <c r="AG114" s="129">
        <f t="shared" si="97"/>
        <v>-27.760891767078565</v>
      </c>
      <c r="AH114" s="134">
        <f t="shared" si="98"/>
        <v>-29.039815702031444</v>
      </c>
    </row>
    <row r="115" spans="1:34">
      <c r="A115" s="125">
        <v>55</v>
      </c>
      <c r="B115" s="126"/>
      <c r="C115" s="129">
        <f>EDisponible!P27</f>
        <v>366775.31102186791</v>
      </c>
      <c r="D115" s="129">
        <f t="shared" si="75"/>
        <v>277379.86195299565</v>
      </c>
      <c r="E115" s="129">
        <f t="shared" si="76"/>
        <v>2.9094238982848033</v>
      </c>
      <c r="F115" s="134">
        <f t="shared" si="77"/>
        <v>3.028045139601113</v>
      </c>
      <c r="G115" s="129">
        <f>EDisponible!V27</f>
        <v>309368.23837693606</v>
      </c>
      <c r="H115" s="129">
        <f t="shared" si="78"/>
        <v>318517.74662137119</v>
      </c>
      <c r="I115" s="129">
        <f t="shared" si="79"/>
        <v>-0.29777576175499609</v>
      </c>
      <c r="J115" s="134">
        <f t="shared" si="80"/>
        <v>-0.31020232162817674</v>
      </c>
      <c r="K115" s="129">
        <f>EDisponible!AB27</f>
        <v>256158.60003845178</v>
      </c>
      <c r="L115" s="129">
        <f t="shared" si="81"/>
        <v>368335.79537128017</v>
      </c>
      <c r="M115" s="129">
        <f t="shared" si="82"/>
        <v>-3.6508683198453404</v>
      </c>
      <c r="N115" s="134">
        <f t="shared" si="83"/>
        <v>-3.7976895517894405</v>
      </c>
      <c r="O115" s="129">
        <f>EDisponible!AH27</f>
        <v>210627.22200372737</v>
      </c>
      <c r="P115" s="129">
        <f t="shared" si="84"/>
        <v>428961.68987065472</v>
      </c>
      <c r="Q115" s="129">
        <f t="shared" si="85"/>
        <v>-7.1058149519662939</v>
      </c>
      <c r="R115" s="134">
        <f t="shared" si="86"/>
        <v>-7.3616430617023285</v>
      </c>
      <c r="S115" s="129">
        <f>EDisponible!AN27</f>
        <v>171893.8781792557</v>
      </c>
      <c r="T115" s="129">
        <f t="shared" si="87"/>
        <v>503168.76573761349</v>
      </c>
      <c r="U115" s="129">
        <f t="shared" si="88"/>
        <v>-10.7815228269769</v>
      </c>
      <c r="V115" s="134">
        <f t="shared" si="89"/>
        <v>-11.090923231498582</v>
      </c>
      <c r="W115" s="129">
        <f>EDisponible!AT27</f>
        <v>139151.20343277784</v>
      </c>
      <c r="X115" s="129">
        <f t="shared" si="90"/>
        <v>594607.10111120262</v>
      </c>
      <c r="Y115" s="129">
        <f t="shared" si="91"/>
        <v>-14.823061879799598</v>
      </c>
      <c r="Z115" s="134">
        <f t="shared" si="92"/>
        <v>-15.083416101327458</v>
      </c>
      <c r="AA115" s="129">
        <f>EDisponible!AZ27</f>
        <v>111661.16466033779</v>
      </c>
      <c r="AB115" s="129">
        <f t="shared" si="93"/>
        <v>708131.55462787359</v>
      </c>
      <c r="AC115" s="129">
        <f t="shared" si="94"/>
        <v>-19.412455838258893</v>
      </c>
      <c r="AD115" s="134">
        <f t="shared" si="95"/>
        <v>-19.440675055124096</v>
      </c>
      <c r="AE115" s="129">
        <f>EDisponible!BF27</f>
        <v>88751.5715157331</v>
      </c>
      <c r="AF115" s="129">
        <f t="shared" si="96"/>
        <v>850273.93113713688</v>
      </c>
      <c r="AG115" s="129">
        <f t="shared" si="97"/>
        <v>-24.784162675370698</v>
      </c>
      <c r="AH115" s="134">
        <f t="shared" si="98"/>
        <v>-24.257334009220514</v>
      </c>
    </row>
    <row r="116" spans="1:34">
      <c r="A116" s="125">
        <v>60</v>
      </c>
      <c r="B116" s="126"/>
      <c r="C116" s="129">
        <f>EDisponible!P28</f>
        <v>363190.52497582306</v>
      </c>
      <c r="D116" s="129">
        <f t="shared" si="75"/>
        <v>236142.00138055609</v>
      </c>
      <c r="E116" s="129">
        <f t="shared" si="76"/>
        <v>4.5107605646184075</v>
      </c>
      <c r="F116" s="134">
        <f t="shared" si="77"/>
        <v>4.2993712974942699</v>
      </c>
      <c r="G116" s="129">
        <f>EDisponible!V28</f>
        <v>307060.80180438125</v>
      </c>
      <c r="H116" s="129">
        <f t="shared" si="78"/>
        <v>270291.87626555702</v>
      </c>
      <c r="I116" s="129">
        <f t="shared" si="79"/>
        <v>1.3054525517532083</v>
      </c>
      <c r="J116" s="134">
        <f t="shared" si="80"/>
        <v>1.2464187033334864</v>
      </c>
      <c r="K116" s="129">
        <f>EDisponible!AB28</f>
        <v>254249.16687711369</v>
      </c>
      <c r="L116" s="129">
        <f t="shared" si="81"/>
        <v>311780.42734935705</v>
      </c>
      <c r="M116" s="129">
        <f t="shared" si="82"/>
        <v>-2.0426033583648255</v>
      </c>
      <c r="N116" s="134">
        <f t="shared" si="83"/>
        <v>-1.9497895224891919</v>
      </c>
      <c r="O116" s="129">
        <f>EDisponible!AH28</f>
        <v>209058.801259806</v>
      </c>
      <c r="P116" s="129">
        <f t="shared" si="84"/>
        <v>362392.03113087715</v>
      </c>
      <c r="Q116" s="129">
        <f t="shared" si="85"/>
        <v>-5.4439789379320525</v>
      </c>
      <c r="R116" s="134">
        <f t="shared" si="86"/>
        <v>-5.184421176039594</v>
      </c>
      <c r="S116" s="129">
        <f>EDisponible!AN28</f>
        <v>170615.84884167369</v>
      </c>
      <c r="T116" s="129">
        <f t="shared" si="87"/>
        <v>424453.74710004736</v>
      </c>
      <c r="U116" s="129">
        <f t="shared" si="88"/>
        <v>-9.0123202447993407</v>
      </c>
      <c r="V116" s="134">
        <f t="shared" si="89"/>
        <v>-8.5422713435595981</v>
      </c>
      <c r="W116" s="129">
        <f>EDisponible!AT28</f>
        <v>138118.81795669219</v>
      </c>
      <c r="X116" s="129">
        <f t="shared" si="90"/>
        <v>501029.494876126</v>
      </c>
      <c r="Y116" s="129">
        <f t="shared" si="91"/>
        <v>-12.884865747374477</v>
      </c>
      <c r="Z116" s="134">
        <f t="shared" si="92"/>
        <v>-12.120065842379001</v>
      </c>
      <c r="AA116" s="129">
        <f>EDisponible!AZ28</f>
        <v>110835.07297981415</v>
      </c>
      <c r="AB116" s="129">
        <f t="shared" si="93"/>
        <v>596195.69573596213</v>
      </c>
      <c r="AC116" s="129">
        <f t="shared" si="94"/>
        <v>-17.232357329248213</v>
      </c>
      <c r="AD116" s="134">
        <f t="shared" si="95"/>
        <v>-16.024380818176834</v>
      </c>
      <c r="AE116" s="129">
        <f>EDisponible!BF28</f>
        <v>88097.36555815232</v>
      </c>
      <c r="AF116" s="129">
        <f t="shared" si="96"/>
        <v>715438.02143452375</v>
      </c>
      <c r="AG116" s="129">
        <f t="shared" si="97"/>
        <v>-22.273249708305958</v>
      </c>
      <c r="AH116" s="134">
        <f t="shared" si="98"/>
        <v>-20.365974731742373</v>
      </c>
    </row>
    <row r="117" spans="1:34">
      <c r="A117" s="125">
        <v>65</v>
      </c>
      <c r="B117" s="126"/>
      <c r="C117" s="129">
        <f>EDisponible!P29</f>
        <v>359790.81135436572</v>
      </c>
      <c r="D117" s="129">
        <f t="shared" si="75"/>
        <v>204563.57294867933</v>
      </c>
      <c r="E117" s="129">
        <f t="shared" si="76"/>
        <v>5.9704929493529173</v>
      </c>
      <c r="F117" s="134">
        <f t="shared" si="77"/>
        <v>5.2481049519319081</v>
      </c>
      <c r="G117" s="129">
        <f>EDisponible!V29</f>
        <v>304966.49141260918</v>
      </c>
      <c r="H117" s="129">
        <f t="shared" si="78"/>
        <v>233205.11496182616</v>
      </c>
      <c r="I117" s="129">
        <f t="shared" si="79"/>
        <v>2.7601521262364037</v>
      </c>
      <c r="J117" s="134">
        <f t="shared" si="80"/>
        <v>2.4315402404330895</v>
      </c>
      <c r="K117" s="129">
        <f>EDisponible!AB29</f>
        <v>252519.55873164773</v>
      </c>
      <c r="L117" s="129">
        <f t="shared" si="81"/>
        <v>268148.87706076552</v>
      </c>
      <c r="M117" s="129">
        <f t="shared" si="82"/>
        <v>-0.60114923028722567</v>
      </c>
      <c r="N117" s="134">
        <f t="shared" si="83"/>
        <v>-0.5298820273944177</v>
      </c>
      <c r="O117" s="129">
        <f>EDisponible!AH29</f>
        <v>207641.17824193768</v>
      </c>
      <c r="P117" s="129">
        <f t="shared" si="84"/>
        <v>310911.48195915559</v>
      </c>
      <c r="Q117" s="129">
        <f t="shared" si="85"/>
        <v>-3.9720774946067521</v>
      </c>
      <c r="R117" s="134">
        <f t="shared" si="86"/>
        <v>-3.4969326403782652</v>
      </c>
      <c r="S117" s="129">
        <f>EDisponible!AN29</f>
        <v>169463.4424599034</v>
      </c>
      <c r="T117" s="129">
        <f t="shared" si="87"/>
        <v>363472.12563172565</v>
      </c>
      <c r="U117" s="129">
        <f t="shared" si="88"/>
        <v>-7.4621405810449302</v>
      </c>
      <c r="V117" s="134">
        <f t="shared" si="89"/>
        <v>-6.5490088639241941</v>
      </c>
      <c r="W117" s="129">
        <f>EDisponible!AT29</f>
        <v>137190.34001140355</v>
      </c>
      <c r="X117" s="129">
        <f t="shared" si="90"/>
        <v>428438.02843506652</v>
      </c>
      <c r="Y117" s="129">
        <f t="shared" si="91"/>
        <v>-11.202236721523189</v>
      </c>
      <c r="Z117" s="134">
        <f t="shared" si="92"/>
        <v>-9.7784180442311328</v>
      </c>
      <c r="AA117" s="129">
        <f>EDisponible!AZ29</f>
        <v>110094.26682110025</v>
      </c>
      <c r="AB117" s="129">
        <f t="shared" si="93"/>
        <v>509279.29962796625</v>
      </c>
      <c r="AC117" s="129">
        <f t="shared" si="94"/>
        <v>-15.353822230810868</v>
      </c>
      <c r="AD117" s="134">
        <f t="shared" si="95"/>
        <v>-13.290376889119345</v>
      </c>
      <c r="AE117" s="129">
        <f>EDisponible!BF29</f>
        <v>87512.576907651601</v>
      </c>
      <c r="AF117" s="129">
        <f t="shared" si="96"/>
        <v>610666.99385581759</v>
      </c>
      <c r="AG117" s="129">
        <f t="shared" si="97"/>
        <v>-20.12204681274185</v>
      </c>
      <c r="AH117" s="134">
        <f t="shared" si="98"/>
        <v>-17.200953761919472</v>
      </c>
    </row>
    <row r="118" spans="1:34">
      <c r="A118" s="125">
        <v>70</v>
      </c>
      <c r="B118" s="126"/>
      <c r="C118" s="129">
        <f>EDisponible!P30</f>
        <v>356556.40294251841</v>
      </c>
      <c r="D118" s="129">
        <f t="shared" si="75"/>
        <v>180025.92024883826</v>
      </c>
      <c r="E118" s="129">
        <f t="shared" si="76"/>
        <v>7.3121762467580336</v>
      </c>
      <c r="F118" s="134">
        <f t="shared" si="77"/>
        <v>5.9634696730144121</v>
      </c>
      <c r="G118" s="129">
        <f>EDisponible!V30</f>
        <v>303068.60131779587</v>
      </c>
      <c r="H118" s="129">
        <f t="shared" si="78"/>
        <v>204226.13265355831</v>
      </c>
      <c r="I118" s="129">
        <f t="shared" si="79"/>
        <v>4.0942138746184824</v>
      </c>
      <c r="J118" s="134">
        <f t="shared" si="80"/>
        <v>3.347346105858418</v>
      </c>
      <c r="K118" s="129">
        <f>EDisponible!AB30</f>
        <v>250955.77363614019</v>
      </c>
      <c r="L118" s="129">
        <f t="shared" si="81"/>
        <v>233913.77237229099</v>
      </c>
      <c r="M118" s="129">
        <f t="shared" si="82"/>
        <v>0.70590707586163393</v>
      </c>
      <c r="N118" s="134">
        <f t="shared" si="83"/>
        <v>0.57777321751369226</v>
      </c>
      <c r="O118" s="129">
        <f>EDisponible!AH30</f>
        <v>206362.69347671335</v>
      </c>
      <c r="P118" s="129">
        <f t="shared" si="84"/>
        <v>270392.42091474845</v>
      </c>
      <c r="Q118" s="129">
        <f t="shared" si="85"/>
        <v>-2.6522141950476463</v>
      </c>
      <c r="R118" s="134">
        <f t="shared" si="86"/>
        <v>-2.1698289446466856</v>
      </c>
      <c r="S118" s="129">
        <f>EDisponible!AN30</f>
        <v>168427.01806229542</v>
      </c>
      <c r="T118" s="129">
        <f t="shared" si="87"/>
        <v>315364.69455103751</v>
      </c>
      <c r="U118" s="129">
        <f t="shared" si="88"/>
        <v>-6.0863946632898509</v>
      </c>
      <c r="V118" s="134">
        <f t="shared" si="89"/>
        <v>-4.9692842917091458</v>
      </c>
      <c r="W118" s="129">
        <f>EDisponible!AT30</f>
        <v>136357.85789803416</v>
      </c>
      <c r="X118" s="129">
        <f t="shared" si="90"/>
        <v>371074.90197111323</v>
      </c>
      <c r="Y118" s="129">
        <f t="shared" si="91"/>
        <v>-9.7223571147118992</v>
      </c>
      <c r="Z118" s="134">
        <f t="shared" si="92"/>
        <v>-7.9072710244004272</v>
      </c>
      <c r="AA118" s="129">
        <f>EDisponible!AZ30</f>
        <v>109432.30671677137</v>
      </c>
      <c r="AB118" s="129">
        <f t="shared" si="93"/>
        <v>440511.55324481637</v>
      </c>
      <c r="AC118" s="129">
        <f t="shared" si="94"/>
        <v>-13.713834377588698</v>
      </c>
      <c r="AD118" s="134">
        <f t="shared" si="95"/>
        <v>-11.084535523509791</v>
      </c>
      <c r="AE118" s="129">
        <f>EDisponible!BF30</f>
        <v>86992.010999327948</v>
      </c>
      <c r="AF118" s="129">
        <f t="shared" si="96"/>
        <v>527698.84547402558</v>
      </c>
      <c r="AG118" s="129">
        <f t="shared" si="97"/>
        <v>-18.254785222683672</v>
      </c>
      <c r="AH118" s="134">
        <f t="shared" si="98"/>
        <v>-14.61621110377245</v>
      </c>
    </row>
    <row r="119" spans="1:34">
      <c r="A119" s="125">
        <v>75</v>
      </c>
      <c r="B119" s="126"/>
      <c r="C119" s="129">
        <f>EDisponible!P31</f>
        <v>353470.74802251766</v>
      </c>
      <c r="D119" s="129">
        <f t="shared" si="75"/>
        <v>160753.00630545136</v>
      </c>
      <c r="E119" s="129">
        <f t="shared" si="76"/>
        <v>8.5528698488555577</v>
      </c>
      <c r="F119" s="134">
        <f t="shared" si="77"/>
        <v>6.5058063337563219</v>
      </c>
      <c r="G119" s="129">
        <f>EDisponible!V31</f>
        <v>301353.2592546143</v>
      </c>
      <c r="H119" s="129">
        <f t="shared" si="78"/>
        <v>181299.00697987477</v>
      </c>
      <c r="I119" s="129">
        <f t="shared" si="79"/>
        <v>5.3280428950594567</v>
      </c>
      <c r="J119" s="134">
        <f t="shared" si="80"/>
        <v>4.0634982840656866</v>
      </c>
      <c r="K119" s="129">
        <f>EDisponible!AB31</f>
        <v>249546.18457401154</v>
      </c>
      <c r="L119" s="129">
        <f t="shared" si="81"/>
        <v>206682.76302567736</v>
      </c>
      <c r="M119" s="129">
        <f t="shared" si="82"/>
        <v>1.9022912084438772</v>
      </c>
      <c r="N119" s="134">
        <f t="shared" si="83"/>
        <v>1.4529319188559091</v>
      </c>
      <c r="O119" s="129">
        <f>EDisponible!AH31</f>
        <v>205213.66523017568</v>
      </c>
      <c r="P119" s="129">
        <f t="shared" si="84"/>
        <v>238035.39394324509</v>
      </c>
      <c r="Q119" s="129">
        <f t="shared" si="85"/>
        <v>-1.4566379379302816</v>
      </c>
      <c r="R119" s="134">
        <f t="shared" si="86"/>
        <v>-1.1126495289895189</v>
      </c>
      <c r="S119" s="129">
        <f>EDisponible!AN31</f>
        <v>167498.57026508707</v>
      </c>
      <c r="T119" s="129">
        <f t="shared" si="87"/>
        <v>276835.82068975456</v>
      </c>
      <c r="U119" s="129">
        <f t="shared" si="88"/>
        <v>-4.8524192125851133</v>
      </c>
      <c r="V119" s="134">
        <f t="shared" si="89"/>
        <v>-3.7018157645358034</v>
      </c>
      <c r="W119" s="129">
        <f>EDisponible!AT31</f>
        <v>135614.80247291495</v>
      </c>
      <c r="X119" s="129">
        <f t="shared" si="90"/>
        <v>325035.03448947321</v>
      </c>
      <c r="Y119" s="129">
        <f t="shared" si="91"/>
        <v>-8.4065254020884836</v>
      </c>
      <c r="Z119" s="134">
        <f t="shared" si="92"/>
        <v>-6.3954185495912288</v>
      </c>
      <c r="AA119" s="129">
        <f>EDisponible!AZ31</f>
        <v>108843.84634558538</v>
      </c>
      <c r="AB119" s="129">
        <f t="shared" si="93"/>
        <v>385232.50272411102</v>
      </c>
      <c r="AC119" s="129">
        <f t="shared" si="94"/>
        <v>-12.266209559346724</v>
      </c>
      <c r="AD119" s="134">
        <f t="shared" si="95"/>
        <v>-9.2884592154701835</v>
      </c>
      <c r="AE119" s="129">
        <f>EDisponible!BF31</f>
        <v>86531.355560697208</v>
      </c>
      <c r="AF119" s="129">
        <f t="shared" si="96"/>
        <v>460930.08335173142</v>
      </c>
      <c r="AG119" s="129">
        <f t="shared" si="97"/>
        <v>-16.615925248205851</v>
      </c>
      <c r="AH119" s="134">
        <f t="shared" si="98"/>
        <v>-12.491863001745102</v>
      </c>
    </row>
    <row r="120" spans="1:34">
      <c r="A120" s="125">
        <v>80</v>
      </c>
      <c r="B120" s="126"/>
      <c r="C120" s="129">
        <f>EDisponible!P32</f>
        <v>350519.7594518516</v>
      </c>
      <c r="D120" s="129">
        <f t="shared" si="75"/>
        <v>145505.8163730074</v>
      </c>
      <c r="E120" s="129">
        <f t="shared" si="76"/>
        <v>9.7051507929675687</v>
      </c>
      <c r="F120" s="134">
        <f t="shared" si="77"/>
        <v>6.9170014866403422</v>
      </c>
      <c r="G120" s="129">
        <f>EDisponible!V32</f>
        <v>299808.79130058875</v>
      </c>
      <c r="H120" s="129">
        <f t="shared" si="78"/>
        <v>162989.4670580306</v>
      </c>
      <c r="I120" s="129">
        <f t="shared" si="79"/>
        <v>6.4768871483793919</v>
      </c>
      <c r="J120" s="134">
        <f t="shared" si="80"/>
        <v>4.6286332435813122</v>
      </c>
      <c r="K120" s="129">
        <f>EDisponible!AB32</f>
        <v>248281.00764869625</v>
      </c>
      <c r="L120" s="129">
        <f t="shared" si="81"/>
        <v>184786.87630967991</v>
      </c>
      <c r="M120" s="129">
        <f t="shared" si="82"/>
        <v>3.0057473645909818</v>
      </c>
      <c r="N120" s="134">
        <f t="shared" si="83"/>
        <v>2.1516958835696602</v>
      </c>
      <c r="O120" s="129">
        <f>EDisponible!AH32</f>
        <v>204185.9471823184</v>
      </c>
      <c r="P120" s="129">
        <f t="shared" si="84"/>
        <v>211887.42095443106</v>
      </c>
      <c r="Q120" s="129">
        <f t="shared" si="85"/>
        <v>-0.36457990692707715</v>
      </c>
      <c r="R120" s="134">
        <f t="shared" si="86"/>
        <v>-0.2611093169196757</v>
      </c>
      <c r="S120" s="129">
        <f>EDisponible!AN32</f>
        <v>166671.36396846198</v>
      </c>
      <c r="T120" s="129">
        <f t="shared" si="87"/>
        <v>245586.37506161563</v>
      </c>
      <c r="U120" s="129">
        <f t="shared" si="88"/>
        <v>-3.7357560709576809</v>
      </c>
      <c r="V120" s="134">
        <f t="shared" si="89"/>
        <v>-2.6735959782626839</v>
      </c>
      <c r="W120" s="129">
        <f>EDisponible!AT32</f>
        <v>134955.64773737919</v>
      </c>
      <c r="X120" s="129">
        <f t="shared" si="90"/>
        <v>287594.12857883947</v>
      </c>
      <c r="Y120" s="129">
        <f t="shared" si="91"/>
        <v>-7.2257498740276169</v>
      </c>
      <c r="Z120" s="134">
        <f t="shared" si="92"/>
        <v>-5.1610578405467855</v>
      </c>
      <c r="AA120" s="129">
        <f>EDisponible!AZ32</f>
        <v>108324.38914076731</v>
      </c>
      <c r="AB120" s="129">
        <f t="shared" si="93"/>
        <v>340191.22951612546</v>
      </c>
      <c r="AC120" s="129">
        <f t="shared" si="94"/>
        <v>-10.976339540312981</v>
      </c>
      <c r="AD120" s="134">
        <f t="shared" si="95"/>
        <v>-7.8124447228890253</v>
      </c>
      <c r="AE120" s="129">
        <f>EDisponible!BF32</f>
        <v>86126.984517968202</v>
      </c>
      <c r="AF120" s="129">
        <f t="shared" si="96"/>
        <v>406451.54879951477</v>
      </c>
      <c r="AG120" s="129">
        <f t="shared" si="97"/>
        <v>-15.163837894910701</v>
      </c>
      <c r="AH120" s="134">
        <f t="shared" si="98"/>
        <v>-10.732968202775796</v>
      </c>
    </row>
    <row r="121" spans="1:34">
      <c r="A121" s="125">
        <v>85</v>
      </c>
      <c r="B121" s="126"/>
      <c r="C121" s="129">
        <f>EDisponible!P33</f>
        <v>347691.27159981907</v>
      </c>
      <c r="D121" s="129">
        <f t="shared" si="75"/>
        <v>133398.66268191376</v>
      </c>
      <c r="E121" s="129">
        <f t="shared" si="76"/>
        <v>10.778417947540772</v>
      </c>
      <c r="F121" s="134">
        <f t="shared" si="77"/>
        <v>7.2268167690363017</v>
      </c>
      <c r="G121" s="129">
        <f>EDisponible!V33</f>
        <v>298425.26196016144</v>
      </c>
      <c r="H121" s="129">
        <f t="shared" si="78"/>
        <v>148272.24972329565</v>
      </c>
      <c r="I121" s="129">
        <f t="shared" si="79"/>
        <v>7.5523459728429136</v>
      </c>
      <c r="J121" s="134">
        <f t="shared" si="80"/>
        <v>5.0774613360189678</v>
      </c>
      <c r="K121" s="129">
        <f>EDisponible!AB33</f>
        <v>247151.91702030363</v>
      </c>
      <c r="L121" s="129">
        <f t="shared" si="81"/>
        <v>167033.07660992144</v>
      </c>
      <c r="M121" s="129">
        <f t="shared" si="82"/>
        <v>4.029790629625694</v>
      </c>
      <c r="N121" s="134">
        <f t="shared" si="83"/>
        <v>2.7143204976977078</v>
      </c>
      <c r="O121" s="129">
        <f>EDisponible!AH33</f>
        <v>203272.60813285236</v>
      </c>
      <c r="P121" s="129">
        <f t="shared" si="84"/>
        <v>190552.44868386531</v>
      </c>
      <c r="Q121" s="129">
        <f t="shared" si="85"/>
        <v>0.63979432418532955</v>
      </c>
      <c r="R121" s="134">
        <f t="shared" si="86"/>
        <v>0.43125673260198932</v>
      </c>
      <c r="S121" s="129">
        <f>EDisponible!AN33</f>
        <v>165939.66980350338</v>
      </c>
      <c r="T121" s="129">
        <f t="shared" si="87"/>
        <v>219972.86598807151</v>
      </c>
      <c r="U121" s="129">
        <f t="shared" si="88"/>
        <v>-2.717743623821637</v>
      </c>
      <c r="V121" s="134">
        <f t="shared" si="89"/>
        <v>-1.8313201095487859</v>
      </c>
      <c r="W121" s="129">
        <f>EDisponible!AT33</f>
        <v>134375.69397706931</v>
      </c>
      <c r="X121" s="129">
        <f t="shared" si="90"/>
        <v>256804.76843429913</v>
      </c>
      <c r="Y121" s="129">
        <f t="shared" si="91"/>
        <v>-6.1578966259920884</v>
      </c>
      <c r="Z121" s="134">
        <f t="shared" si="92"/>
        <v>-4.1436020516223273</v>
      </c>
      <c r="AA121" s="129">
        <f>EDisponible!AZ33</f>
        <v>107870.11197835262</v>
      </c>
      <c r="AB121" s="129">
        <f t="shared" si="93"/>
        <v>303063.87201237946</v>
      </c>
      <c r="AC121" s="129">
        <f t="shared" si="94"/>
        <v>-9.8177904362754287</v>
      </c>
      <c r="AD121" s="134">
        <f t="shared" si="95"/>
        <v>-6.5886619568161837</v>
      </c>
      <c r="AE121" s="129">
        <f>EDisponible!BF33</f>
        <v>85775.815924920462</v>
      </c>
      <c r="AF121" s="129">
        <f t="shared" si="96"/>
        <v>361468.848890931</v>
      </c>
      <c r="AG121" s="129">
        <f t="shared" si="97"/>
        <v>-13.866715933591443</v>
      </c>
      <c r="AH121" s="134">
        <f t="shared" si="98"/>
        <v>-9.2654876743399583</v>
      </c>
    </row>
    <row r="122" spans="1:34">
      <c r="A122" s="125">
        <v>90</v>
      </c>
      <c r="B122" s="126"/>
      <c r="C122" s="129">
        <f>EDisponible!P34</f>
        <v>344974.63870980369</v>
      </c>
      <c r="D122" s="129">
        <f t="shared" si="75"/>
        <v>123784.82664258392</v>
      </c>
      <c r="E122" s="129">
        <f t="shared" si="76"/>
        <v>11.779762408888088</v>
      </c>
      <c r="F122" s="134">
        <f t="shared" si="77"/>
        <v>7.4568408936887263</v>
      </c>
      <c r="G122" s="129">
        <f>EDisponible!V34</f>
        <v>297194.13365650852</v>
      </c>
      <c r="H122" s="129">
        <f t="shared" si="78"/>
        <v>136398.72010612197</v>
      </c>
      <c r="I122" s="129">
        <f t="shared" si="79"/>
        <v>8.5633770848669535</v>
      </c>
      <c r="J122" s="134">
        <f t="shared" si="80"/>
        <v>5.4352523266135648</v>
      </c>
      <c r="K122" s="129">
        <f>EDisponible!AB34</f>
        <v>246151.75978462372</v>
      </c>
      <c r="L122" s="129">
        <f t="shared" si="81"/>
        <v>152550.22362578401</v>
      </c>
      <c r="M122" s="129">
        <f t="shared" si="82"/>
        <v>4.984876322979094</v>
      </c>
      <c r="N122" s="134">
        <f t="shared" si="83"/>
        <v>3.1702316235128798</v>
      </c>
      <c r="O122" s="129">
        <f>EDisponible!AH34</f>
        <v>202467.69481032461</v>
      </c>
      <c r="P122" s="129">
        <f t="shared" si="84"/>
        <v>173011.09577712099</v>
      </c>
      <c r="Q122" s="129">
        <f t="shared" si="85"/>
        <v>1.5687509959978181</v>
      </c>
      <c r="R122" s="134">
        <f t="shared" si="86"/>
        <v>0.99859677739296171</v>
      </c>
      <c r="S122" s="129">
        <f>EDisponible!AN34</f>
        <v>165298.56819453879</v>
      </c>
      <c r="T122" s="129">
        <f t="shared" si="87"/>
        <v>198795.23555160413</v>
      </c>
      <c r="U122" s="129">
        <f t="shared" si="88"/>
        <v>-1.7839102952710724</v>
      </c>
      <c r="V122" s="134">
        <f t="shared" si="89"/>
        <v>-1.1355238730988628</v>
      </c>
      <c r="W122" s="129">
        <f>EDisponible!AT34</f>
        <v>133870.90712433326</v>
      </c>
      <c r="X122" s="129">
        <f t="shared" si="90"/>
        <v>231244.97438544239</v>
      </c>
      <c r="Y122" s="129">
        <f t="shared" si="91"/>
        <v>-5.1857875659045556</v>
      </c>
      <c r="Z122" s="134">
        <f t="shared" si="92"/>
        <v>-3.2977285856604688</v>
      </c>
      <c r="AA122" s="129">
        <f>EDisponible!AZ34</f>
        <v>107477.73455580589</v>
      </c>
      <c r="AB122" s="129">
        <f t="shared" si="93"/>
        <v>272153.57433044247</v>
      </c>
      <c r="AC122" s="129">
        <f t="shared" si="94"/>
        <v>-8.7700344283480032</v>
      </c>
      <c r="AD122" s="134">
        <f t="shared" si="95"/>
        <v>-5.5656056481942668</v>
      </c>
      <c r="AE122" s="129">
        <f>EDisponible!BF34</f>
        <v>85475.206691032101</v>
      </c>
      <c r="AF122" s="129">
        <f t="shared" si="96"/>
        <v>323941.55141704099</v>
      </c>
      <c r="AG122" s="129">
        <f t="shared" si="97"/>
        <v>-12.699847507147876</v>
      </c>
      <c r="AH122" s="134">
        <f t="shared" si="98"/>
        <v>-8.0319438492692843</v>
      </c>
    </row>
    <row r="123" spans="1:34">
      <c r="A123" s="125">
        <v>95</v>
      </c>
      <c r="B123" s="126"/>
      <c r="C123" s="129">
        <f>EDisponible!P35</f>
        <v>342360.43197293096</v>
      </c>
      <c r="D123" s="129">
        <f t="shared" si="75"/>
        <v>116183.16398973325</v>
      </c>
      <c r="E123" s="129">
        <f t="shared" si="76"/>
        <v>12.714563676837797</v>
      </c>
      <c r="F123" s="134">
        <f t="shared" si="77"/>
        <v>7.6230242414438107</v>
      </c>
      <c r="G123" s="129">
        <f>EDisponible!V35</f>
        <v>296108.00965019141</v>
      </c>
      <c r="H123" s="129">
        <f t="shared" si="78"/>
        <v>126811.91049276965</v>
      </c>
      <c r="I123" s="129">
        <f t="shared" si="79"/>
        <v>9.5169866192618073</v>
      </c>
      <c r="J123" s="134">
        <f t="shared" si="80"/>
        <v>5.7207363824374813</v>
      </c>
      <c r="K123" s="129">
        <f>EDisponible!AB35</f>
        <v>245274.34068283299</v>
      </c>
      <c r="L123" s="129">
        <f t="shared" si="81"/>
        <v>140690.20832398848</v>
      </c>
      <c r="M123" s="129">
        <f t="shared" si="82"/>
        <v>5.8792009573753665</v>
      </c>
      <c r="N123" s="134">
        <f t="shared" si="83"/>
        <v>3.5413089163753475</v>
      </c>
      <c r="O123" s="129">
        <f>EDisponible!AH35</f>
        <v>201766.05274977986</v>
      </c>
      <c r="P123" s="129">
        <f t="shared" si="84"/>
        <v>158504.96514971938</v>
      </c>
      <c r="Q123" s="129">
        <f t="shared" si="85"/>
        <v>2.431923676171952</v>
      </c>
      <c r="R123" s="134">
        <f t="shared" si="86"/>
        <v>1.4664056584658969</v>
      </c>
      <c r="S123" s="129">
        <f>EDisponible!AN35</f>
        <v>164743.80136962674</v>
      </c>
      <c r="T123" s="129">
        <f t="shared" si="87"/>
        <v>181160.66731810974</v>
      </c>
      <c r="U123" s="129">
        <f t="shared" si="88"/>
        <v>-0.9228747404076153</v>
      </c>
      <c r="V123" s="134">
        <f t="shared" si="89"/>
        <v>-0.55658067782474951</v>
      </c>
      <c r="W123" s="129">
        <f>EDisponible!AT35</f>
        <v>133437.797411818</v>
      </c>
      <c r="X123" s="129">
        <f t="shared" si="90"/>
        <v>209856.82514349587</v>
      </c>
      <c r="Y123" s="129">
        <f t="shared" si="91"/>
        <v>-4.2958985351641648</v>
      </c>
      <c r="Z123" s="134">
        <f t="shared" si="92"/>
        <v>-2.5891504219295509</v>
      </c>
      <c r="AA123" s="129">
        <f>EDisponible!AZ35</f>
        <v>107144.42070347619</v>
      </c>
      <c r="AB123" s="129">
        <f t="shared" si="93"/>
        <v>246197.91338554106</v>
      </c>
      <c r="AC123" s="129">
        <f t="shared" si="94"/>
        <v>-7.8168973520546468</v>
      </c>
      <c r="AD123" s="134">
        <f t="shared" si="95"/>
        <v>-4.7038792816626298</v>
      </c>
      <c r="AE123" s="129">
        <f>EDisponible!BF35</f>
        <v>85222.873030687013</v>
      </c>
      <c r="AF123" s="129">
        <f t="shared" si="96"/>
        <v>292351.62013790733</v>
      </c>
      <c r="AG123" s="129">
        <f t="shared" si="97"/>
        <v>-11.643750355115383</v>
      </c>
      <c r="AH123" s="134">
        <f t="shared" si="98"/>
        <v>-6.987651371615577</v>
      </c>
    </row>
    <row r="124" spans="1:34">
      <c r="A124" s="125">
        <v>100</v>
      </c>
      <c r="B124" s="126"/>
      <c r="C124" s="129">
        <f>EDisponible!P36</f>
        <v>339840.20704926195</v>
      </c>
      <c r="D124" s="129">
        <f t="shared" si="75"/>
        <v>110229.72322876111</v>
      </c>
      <c r="E124" s="129">
        <f t="shared" si="76"/>
        <v>13.586907405288052</v>
      </c>
      <c r="F124" s="134">
        <f t="shared" si="77"/>
        <v>7.7373451416444459</v>
      </c>
      <c r="G124" s="129">
        <f>EDisponible!V36</f>
        <v>295160.4365717147</v>
      </c>
      <c r="H124" s="129">
        <f t="shared" si="78"/>
        <v>119090.5143303277</v>
      </c>
      <c r="I124" s="129">
        <f t="shared" si="79"/>
        <v>10.418712989691459</v>
      </c>
      <c r="J124" s="134">
        <f t="shared" si="80"/>
        <v>5.9480229228466515</v>
      </c>
      <c r="K124" s="129">
        <f>EDisponible!AB36</f>
        <v>244514.25671274634</v>
      </c>
      <c r="L124" s="129">
        <f t="shared" si="81"/>
        <v>130962.78221079761</v>
      </c>
      <c r="M124" s="129">
        <f t="shared" si="82"/>
        <v>6.7192636160202808</v>
      </c>
      <c r="N124" s="134">
        <f t="shared" si="83"/>
        <v>3.844076271956018</v>
      </c>
      <c r="O124" s="129">
        <f>EDisponible!AH36</f>
        <v>201163.18866932034</v>
      </c>
      <c r="P124" s="129">
        <f t="shared" si="84"/>
        <v>146460.38322325138</v>
      </c>
      <c r="Q124" s="129">
        <f t="shared" si="85"/>
        <v>3.2369687134419309</v>
      </c>
      <c r="R124" s="134">
        <f t="shared" si="86"/>
        <v>1.8539990997797808</v>
      </c>
      <c r="S124" s="129">
        <f>EDisponible!AN36</f>
        <v>164271.65963975716</v>
      </c>
      <c r="T124" s="129">
        <f t="shared" si="87"/>
        <v>166393.80900961036</v>
      </c>
      <c r="U124" s="129">
        <f t="shared" si="88"/>
        <v>-0.12557548117413708</v>
      </c>
      <c r="V124" s="134">
        <f t="shared" si="89"/>
        <v>-7.1949412996548695E-2</v>
      </c>
      <c r="W124" s="129">
        <f>EDisponible!AT36</f>
        <v>133073.32610977374</v>
      </c>
      <c r="X124" s="129">
        <f t="shared" si="90"/>
        <v>191840.07832379537</v>
      </c>
      <c r="Y124" s="129">
        <f t="shared" si="91"/>
        <v>-3.4774475779843632</v>
      </c>
      <c r="Z124" s="134">
        <f t="shared" si="92"/>
        <v>-1.9916281541614018</v>
      </c>
      <c r="AA124" s="129">
        <f>EDisponible!AZ36</f>
        <v>106867.70252222659</v>
      </c>
      <c r="AB124" s="129">
        <f t="shared" si="93"/>
        <v>224241.95569582298</v>
      </c>
      <c r="AC124" s="129">
        <f t="shared" si="94"/>
        <v>-6.9454716661857558</v>
      </c>
      <c r="AD124" s="134">
        <f t="shared" si="95"/>
        <v>-3.9730816703378093</v>
      </c>
      <c r="AE124" s="129">
        <f>EDisponible!BF36</f>
        <v>85016.829299970108</v>
      </c>
      <c r="AF124" s="129">
        <f t="shared" si="96"/>
        <v>265550.76835815393</v>
      </c>
      <c r="AG124" s="129">
        <f t="shared" si="97"/>
        <v>-10.682865488899125</v>
      </c>
      <c r="AH124" s="134">
        <f t="shared" si="98"/>
        <v>-6.0977048268818947</v>
      </c>
    </row>
    <row r="125" spans="1:34">
      <c r="A125" s="125">
        <v>105</v>
      </c>
      <c r="B125" s="126"/>
      <c r="C125" s="129">
        <f>EDisponible!P37</f>
        <v>337406.32285816589</v>
      </c>
      <c r="D125" s="129">
        <f t="shared" si="75"/>
        <v>105645.08887229396</v>
      </c>
      <c r="E125" s="129">
        <f t="shared" si="76"/>
        <v>14.399884067145534</v>
      </c>
      <c r="F125" s="134">
        <f t="shared" si="77"/>
        <v>7.808930366599772</v>
      </c>
      <c r="G125" s="129">
        <f>EDisponible!V37</f>
        <v>294345.7504059567</v>
      </c>
      <c r="H125" s="129">
        <f t="shared" si="78"/>
        <v>112911.08308908345</v>
      </c>
      <c r="I125" s="129">
        <f t="shared" si="79"/>
        <v>11.27297318102543</v>
      </c>
      <c r="J125" s="134">
        <f t="shared" si="80"/>
        <v>6.1278968751032119</v>
      </c>
      <c r="K125" s="129">
        <f>EDisponible!AB37</f>
        <v>243866.76811507836</v>
      </c>
      <c r="L125" s="129">
        <f t="shared" si="81"/>
        <v>122991.56814847741</v>
      </c>
      <c r="M125" s="129">
        <f t="shared" si="82"/>
        <v>7.5102675118574531</v>
      </c>
      <c r="N125" s="134">
        <f t="shared" si="83"/>
        <v>4.0911910162374383</v>
      </c>
      <c r="O125" s="129">
        <f>EDisponible!AH37</f>
        <v>200655.16309880713</v>
      </c>
      <c r="P125" s="129">
        <f t="shared" si="84"/>
        <v>136436.92514747599</v>
      </c>
      <c r="Q125" s="129">
        <f t="shared" si="85"/>
        <v>3.9900339051176492</v>
      </c>
      <c r="R125" s="134">
        <f t="shared" si="86"/>
        <v>2.1762110249922202</v>
      </c>
      <c r="S125" s="129">
        <f>EDisponible!AN37</f>
        <v>163878.89266139604</v>
      </c>
      <c r="T125" s="129">
        <f t="shared" si="87"/>
        <v>153976.17426542446</v>
      </c>
      <c r="U125" s="129">
        <f t="shared" si="88"/>
        <v>0.61527976184435051</v>
      </c>
      <c r="V125" s="134">
        <f t="shared" si="89"/>
        <v>0.33573838175689402</v>
      </c>
      <c r="W125" s="129">
        <f>EDisponible!AT37</f>
        <v>132774.8327392783</v>
      </c>
      <c r="X125" s="129">
        <f t="shared" si="90"/>
        <v>176580.36602499909</v>
      </c>
      <c r="Y125" s="129">
        <f t="shared" si="91"/>
        <v>-2.7217433647782405</v>
      </c>
      <c r="Z125" s="134">
        <f t="shared" si="92"/>
        <v>-1.4848523290601692</v>
      </c>
      <c r="AA125" s="129">
        <f>EDisponible!AZ37</f>
        <v>106645.42116521565</v>
      </c>
      <c r="AB125" s="129">
        <f t="shared" si="93"/>
        <v>205552.57278620402</v>
      </c>
      <c r="AC125" s="129">
        <f t="shared" si="94"/>
        <v>-6.1453397199319353</v>
      </c>
      <c r="AD125" s="134">
        <f t="shared" si="95"/>
        <v>-3.3495316383678406</v>
      </c>
      <c r="AE125" s="129">
        <f>EDisponible!BF37</f>
        <v>84855.340242475781</v>
      </c>
      <c r="AF125" s="129">
        <f t="shared" si="96"/>
        <v>242657.4250679262</v>
      </c>
      <c r="AG125" s="129">
        <f t="shared" si="97"/>
        <v>-9.8046238706982027</v>
      </c>
      <c r="AH125" s="134">
        <f t="shared" si="98"/>
        <v>-5.3346602084796739</v>
      </c>
    </row>
    <row r="126" spans="1:34">
      <c r="A126" s="125">
        <v>110</v>
      </c>
      <c r="B126" s="126"/>
      <c r="C126" s="129">
        <f>EDisponible!P38</f>
        <v>335051.79833197762</v>
      </c>
      <c r="D126" s="129">
        <f t="shared" si="75"/>
        <v>102211.86860617322</v>
      </c>
      <c r="E126" s="129">
        <f t="shared" si="76"/>
        <v>15.155806320684226</v>
      </c>
      <c r="F126" s="134">
        <f t="shared" si="77"/>
        <v>7.8448242824432892</v>
      </c>
      <c r="G126" s="129">
        <f>EDisponible!V38</f>
        <v>293658.95471207483</v>
      </c>
      <c r="H126" s="129">
        <f t="shared" si="78"/>
        <v>108021.96563456921</v>
      </c>
      <c r="I126" s="129">
        <f t="shared" si="79"/>
        <v>12.083315158730894</v>
      </c>
      <c r="J126" s="134">
        <f t="shared" si="80"/>
        <v>6.2687116023945153</v>
      </c>
      <c r="K126" s="129">
        <f>EDisponible!AB38</f>
        <v>243327.6963469839</v>
      </c>
      <c r="L126" s="129">
        <f t="shared" si="81"/>
        <v>116483.73520722704</v>
      </c>
      <c r="M126" s="129">
        <f t="shared" si="82"/>
        <v>8.2564125072809595</v>
      </c>
      <c r="N126" s="134">
        <f t="shared" si="83"/>
        <v>4.292474718777787</v>
      </c>
      <c r="O126" s="129">
        <f>EDisponible!AH38</f>
        <v>200238.5054548867</v>
      </c>
      <c r="P126" s="129">
        <f t="shared" si="84"/>
        <v>128091.92925282437</v>
      </c>
      <c r="Q126" s="129">
        <f t="shared" si="85"/>
        <v>4.6960997493281855</v>
      </c>
      <c r="R126" s="134">
        <f t="shared" si="86"/>
        <v>2.4445764376670387</v>
      </c>
      <c r="S126" s="129">
        <f>EDisponible!AN38</f>
        <v>163562.63923757305</v>
      </c>
      <c r="T126" s="129">
        <f t="shared" si="87"/>
        <v>143504.36758708599</v>
      </c>
      <c r="U126" s="129">
        <f t="shared" si="88"/>
        <v>1.3056148944059847</v>
      </c>
      <c r="V126" s="134">
        <f t="shared" si="89"/>
        <v>0.68002464138290841</v>
      </c>
      <c r="W126" s="129">
        <f>EDisponible!AT38</f>
        <v>132539.97748070644</v>
      </c>
      <c r="X126" s="129">
        <f t="shared" si="90"/>
        <v>163599.6944856561</v>
      </c>
      <c r="Y126" s="129">
        <f t="shared" si="91"/>
        <v>-2.0217110349441509</v>
      </c>
      <c r="Z126" s="134">
        <f t="shared" si="92"/>
        <v>-1.0529315406143542</v>
      </c>
      <c r="AA126" s="129">
        <f>EDisponible!AZ38</f>
        <v>106475.6799725747</v>
      </c>
      <c r="AB126" s="129">
        <f t="shared" si="93"/>
        <v>189559.37216601675</v>
      </c>
      <c r="AC126" s="129">
        <f t="shared" si="94"/>
        <v>-5.4080086210900502</v>
      </c>
      <c r="AD126" s="134">
        <f t="shared" si="95"/>
        <v>-2.814607117826915</v>
      </c>
      <c r="AE126" s="129">
        <f>EDisponible!BF38</f>
        <v>84736.88318804992</v>
      </c>
      <c r="AF126" s="129">
        <f t="shared" si="96"/>
        <v>222985.70573115622</v>
      </c>
      <c r="AG126" s="129">
        <f t="shared" si="97"/>
        <v>-8.9987674407623484</v>
      </c>
      <c r="AH126" s="134">
        <f t="shared" si="98"/>
        <v>-4.6767801234143009</v>
      </c>
    </row>
    <row r="127" spans="1:34">
      <c r="A127" s="125">
        <v>115</v>
      </c>
      <c r="B127" s="126"/>
      <c r="C127" s="129">
        <f>EDisponible!P39</f>
        <v>332770.19771687372</v>
      </c>
      <c r="D127" s="129">
        <f t="shared" si="75"/>
        <v>99758.876835342162</v>
      </c>
      <c r="E127" s="129">
        <f t="shared" si="76"/>
        <v>15.856369738881877</v>
      </c>
      <c r="F127" s="134">
        <f t="shared" si="77"/>
        <v>7.8505268035249411</v>
      </c>
      <c r="G127" s="129">
        <f>EDisponible!V39</f>
        <v>293095.62313872651</v>
      </c>
      <c r="H127" s="129">
        <f t="shared" si="78"/>
        <v>104224.9992609537</v>
      </c>
      <c r="I127" s="129">
        <f t="shared" si="79"/>
        <v>12.852604902153599</v>
      </c>
      <c r="J127" s="134">
        <f t="shared" si="80"/>
        <v>6.3770151505427943</v>
      </c>
      <c r="K127" s="129">
        <f>EDisponible!AB39</f>
        <v>242893.34239698388</v>
      </c>
      <c r="L127" s="129">
        <f t="shared" si="81"/>
        <v>111208.6936481085</v>
      </c>
      <c r="M127" s="129">
        <f t="shared" si="82"/>
        <v>8.9611117245181635</v>
      </c>
      <c r="N127" s="134">
        <f t="shared" si="83"/>
        <v>4.4556388670571314</v>
      </c>
      <c r="O127" s="129">
        <f>EDisponible!AH39</f>
        <v>199910.14603609068</v>
      </c>
      <c r="P127" s="129">
        <f t="shared" si="84"/>
        <v>121155.56658036867</v>
      </c>
      <c r="Q127" s="129">
        <f t="shared" si="85"/>
        <v>5.3592320139457028</v>
      </c>
      <c r="R127" s="134">
        <f t="shared" si="86"/>
        <v>2.6681685077010511</v>
      </c>
      <c r="S127" s="129">
        <f>EDisponible!AN39</f>
        <v>163320.37109459948</v>
      </c>
      <c r="T127" s="129">
        <f t="shared" si="87"/>
        <v>134660.7351572765</v>
      </c>
      <c r="U127" s="129">
        <f t="shared" si="88"/>
        <v>1.9502819961051872</v>
      </c>
      <c r="V127" s="134">
        <f t="shared" si="89"/>
        <v>0.97158449052489793</v>
      </c>
      <c r="W127" s="129">
        <f>EDisponible!AT39</f>
        <v>132366.69503853243</v>
      </c>
      <c r="X127" s="129">
        <f t="shared" si="90"/>
        <v>152521.66748033333</v>
      </c>
      <c r="Y127" s="129">
        <f t="shared" si="91"/>
        <v>-1.371541493800013</v>
      </c>
      <c r="Z127" s="134">
        <f t="shared" si="92"/>
        <v>-0.68330272546202386</v>
      </c>
      <c r="AA127" s="129">
        <f>EDisponible!AZ39</f>
        <v>106356.80692044395</v>
      </c>
      <c r="AB127" s="129">
        <f t="shared" si="93"/>
        <v>175813.19822316547</v>
      </c>
      <c r="AC127" s="129">
        <f t="shared" si="94"/>
        <v>-4.7264923311788438</v>
      </c>
      <c r="AD127" s="134">
        <f t="shared" si="95"/>
        <v>-2.3535281168324955</v>
      </c>
      <c r="AE127" s="129">
        <f>EDisponible!BF39</f>
        <v>84660.117757138243</v>
      </c>
      <c r="AF127" s="129">
        <f t="shared" si="96"/>
        <v>205995.5105154214</v>
      </c>
      <c r="AG127" s="129">
        <f t="shared" si="97"/>
        <v>-8.2568471038622366</v>
      </c>
      <c r="AH127" s="134">
        <f t="shared" si="98"/>
        <v>-4.1067136969565379</v>
      </c>
    </row>
    <row r="128" spans="1:34">
      <c r="A128" s="125">
        <v>120</v>
      </c>
      <c r="B128" s="126"/>
      <c r="C128" s="129">
        <f>EDisponible!P40</f>
        <v>330555.53763834399</v>
      </c>
      <c r="D128" s="129">
        <f t="shared" si="75"/>
        <v>98149.831328453904</v>
      </c>
      <c r="E128" s="129">
        <f t="shared" si="76"/>
        <v>16.502773355392119</v>
      </c>
      <c r="F128" s="134">
        <f t="shared" si="77"/>
        <v>7.8303761149336601</v>
      </c>
      <c r="G128" s="129">
        <f>EDisponible!V40</f>
        <v>292651.82051278109</v>
      </c>
      <c r="H128" s="129">
        <f t="shared" si="78"/>
        <v>101362.42504166695</v>
      </c>
      <c r="I128" s="129">
        <f t="shared" si="79"/>
        <v>13.583167078266484</v>
      </c>
      <c r="J128" s="134">
        <f t="shared" si="80"/>
        <v>6.4579967696317047</v>
      </c>
      <c r="K128" s="129">
        <f>EDisponible!AB40</f>
        <v>242560.42065191231</v>
      </c>
      <c r="L128" s="129">
        <f t="shared" si="81"/>
        <v>106982.86912225338</v>
      </c>
      <c r="M128" s="129">
        <f t="shared" si="82"/>
        <v>9.6271543435753593</v>
      </c>
      <c r="N128" s="134">
        <f t="shared" si="83"/>
        <v>4.5868038220919773</v>
      </c>
      <c r="O128" s="129">
        <f>EDisponible!AH40</f>
        <v>199667.36095533319</v>
      </c>
      <c r="P128" s="129">
        <f t="shared" si="84"/>
        <v>115413.02412208405</v>
      </c>
      <c r="Q128" s="129">
        <f t="shared" si="85"/>
        <v>5.9827714518935915</v>
      </c>
      <c r="R128" s="134">
        <f t="shared" si="86"/>
        <v>2.8541996554102509</v>
      </c>
      <c r="S128" s="129">
        <f>EDisponible!AN40</f>
        <v>163149.84734582761</v>
      </c>
      <c r="T128" s="129">
        <f t="shared" si="87"/>
        <v>127192.3902129151</v>
      </c>
      <c r="U128" s="129">
        <f t="shared" si="88"/>
        <v>2.5532839744883269</v>
      </c>
      <c r="V128" s="134">
        <f t="shared" si="89"/>
        <v>1.2189193735445945</v>
      </c>
      <c r="W128" s="129">
        <f>EDisponible!AT40</f>
        <v>132253.15726760455</v>
      </c>
      <c r="X128" s="129">
        <f t="shared" si="90"/>
        <v>143046.63294160331</v>
      </c>
      <c r="Y128" s="129">
        <f t="shared" si="91"/>
        <v>-0.76642818110253852</v>
      </c>
      <c r="Z128" s="134">
        <f t="shared" si="92"/>
        <v>-0.36593752485950176</v>
      </c>
      <c r="AA128" s="129">
        <f>EDisponible!AZ40</f>
        <v>106287.32419416885</v>
      </c>
      <c r="AB128" s="129">
        <f t="shared" si="93"/>
        <v>163956.47455632908</v>
      </c>
      <c r="AC128" s="129">
        <f t="shared" si="94"/>
        <v>-4.0949980666815486</v>
      </c>
      <c r="AD128" s="134">
        <f t="shared" si="95"/>
        <v>-1.9544591228965995</v>
      </c>
      <c r="AE128" s="129">
        <f>EDisponible!BF40</f>
        <v>84623.861306572406</v>
      </c>
      <c r="AF128" s="129">
        <f t="shared" si="96"/>
        <v>191256.86159292483</v>
      </c>
      <c r="AG128" s="129">
        <f t="shared" si="97"/>
        <v>-7.5718460784465291</v>
      </c>
      <c r="AH128" s="134">
        <f t="shared" si="98"/>
        <v>-3.6105035943904737</v>
      </c>
    </row>
    <row r="129" spans="1:34">
      <c r="A129" s="125">
        <v>125</v>
      </c>
      <c r="B129" s="126"/>
      <c r="C129" s="129">
        <f>EDisponible!P41</f>
        <v>328402.21096683957</v>
      </c>
      <c r="D129" s="129">
        <f t="shared" si="75"/>
        <v>97275.149038338932</v>
      </c>
      <c r="E129" s="129">
        <f t="shared" si="76"/>
        <v>17.095811224661691</v>
      </c>
      <c r="F129" s="134">
        <f t="shared" si="77"/>
        <v>7.787825225075375</v>
      </c>
      <c r="G129" s="129">
        <f>EDisponible!V41</f>
        <v>292324.03831155412</v>
      </c>
      <c r="H129" s="129">
        <f t="shared" si="78"/>
        <v>99307.390754516178</v>
      </c>
      <c r="I129" s="129">
        <f t="shared" si="79"/>
        <v>14.276892296034839</v>
      </c>
      <c r="J129" s="134">
        <f t="shared" si="80"/>
        <v>6.5158101524371723</v>
      </c>
      <c r="K129" s="129">
        <f>EDisponible!AB41</f>
        <v>242326.00480857198</v>
      </c>
      <c r="L129" s="129">
        <f t="shared" si="81"/>
        <v>103658.65150960178</v>
      </c>
      <c r="M129" s="129">
        <f t="shared" si="82"/>
        <v>10.256829621085306</v>
      </c>
      <c r="N129" s="134">
        <f t="shared" si="83"/>
        <v>4.6908753928226297</v>
      </c>
      <c r="O129" s="129">
        <f>EDisponible!AH41</f>
        <v>199507.72709308294</v>
      </c>
      <c r="P129" s="129">
        <f t="shared" si="84"/>
        <v>110691.57309478015</v>
      </c>
      <c r="Q129" s="129">
        <f t="shared" si="85"/>
        <v>6.5694782332550021</v>
      </c>
      <c r="R129" s="134">
        <f t="shared" si="86"/>
        <v>3.0084591450038061</v>
      </c>
      <c r="S129" s="129">
        <f>EDisponible!AN41</f>
        <v>163049.07723391466</v>
      </c>
      <c r="T129" s="129">
        <f t="shared" si="87"/>
        <v>120895.9892820512</v>
      </c>
      <c r="U129" s="129">
        <f t="shared" si="88"/>
        <v>3.1179439921429442</v>
      </c>
      <c r="V129" s="134">
        <f t="shared" si="89"/>
        <v>1.4288639639810143</v>
      </c>
      <c r="W129" s="129">
        <f>EDisponible!AT41</f>
        <v>132197.74258706821</v>
      </c>
      <c r="X129" s="129">
        <f t="shared" si="90"/>
        <v>134933.64392931975</v>
      </c>
      <c r="Y129" s="129">
        <f t="shared" si="91"/>
        <v>-0.2023668387689711</v>
      </c>
      <c r="Z129" s="134">
        <f t="shared" si="92"/>
        <v>-9.2758045160934569E-2</v>
      </c>
      <c r="AA129" s="129">
        <f>EDisponible!AZ41</f>
        <v>106265.92328136072</v>
      </c>
      <c r="AB129" s="129">
        <f t="shared" si="93"/>
        <v>153701.67790392475</v>
      </c>
      <c r="AC129" s="129">
        <f t="shared" si="94"/>
        <v>-3.5086878168234432</v>
      </c>
      <c r="AD129" s="134">
        <f t="shared" si="95"/>
        <v>-1.6078418457078463</v>
      </c>
      <c r="AE129" s="129">
        <f>EDisponible!BF41</f>
        <v>84627.068824460483</v>
      </c>
      <c r="AF129" s="129">
        <f t="shared" si="96"/>
        <v>178424.01850931937</v>
      </c>
      <c r="AG129" s="129">
        <f t="shared" si="97"/>
        <v>-6.9378935200478304</v>
      </c>
      <c r="AH129" s="134">
        <f t="shared" si="98"/>
        <v>-3.1768366277658102</v>
      </c>
    </row>
    <row r="130" spans="1:34">
      <c r="A130" s="125">
        <v>130</v>
      </c>
      <c r="B130" s="126"/>
      <c r="C130" s="129">
        <f>EDisponible!P42</f>
        <v>326304.92379693151</v>
      </c>
      <c r="D130" s="129">
        <f t="shared" si="75"/>
        <v>97045.906682865767</v>
      </c>
      <c r="E130" s="129">
        <f t="shared" si="76"/>
        <v>17.635942754811861</v>
      </c>
      <c r="F130" s="134">
        <f t="shared" si="77"/>
        <v>7.7256446632159372</v>
      </c>
      <c r="G130" s="129">
        <f>EDisponible!V42</f>
        <v>292109.14140531869</v>
      </c>
      <c r="H130" s="129">
        <f t="shared" si="78"/>
        <v>97956.959711442192</v>
      </c>
      <c r="I130" s="129">
        <f t="shared" si="79"/>
        <v>14.935319906616494</v>
      </c>
      <c r="J130" s="134">
        <f t="shared" si="80"/>
        <v>6.5538107115346715</v>
      </c>
      <c r="K130" s="129">
        <f>EDisponible!AB42</f>
        <v>242187.48322394607</v>
      </c>
      <c r="L130" s="129">
        <f t="shared" si="81"/>
        <v>101116.25972456975</v>
      </c>
      <c r="M130" s="129">
        <f t="shared" si="82"/>
        <v>10.852022543341999</v>
      </c>
      <c r="N130" s="134">
        <f t="shared" si="83"/>
        <v>4.771821808267136</v>
      </c>
      <c r="O130" s="129">
        <f>EDisponible!AH42</f>
        <v>199429.08490379006</v>
      </c>
      <c r="P130" s="129">
        <f t="shared" si="84"/>
        <v>106851.04938807116</v>
      </c>
      <c r="Q130" s="129">
        <f t="shared" si="85"/>
        <v>7.1216432629815491</v>
      </c>
      <c r="R130" s="134">
        <f t="shared" si="86"/>
        <v>3.1356357861671906</v>
      </c>
      <c r="S130" s="129">
        <f>EDisponible!AN42</f>
        <v>163016.28936169163</v>
      </c>
      <c r="T130" s="129">
        <f t="shared" si="87"/>
        <v>115606.52537324843</v>
      </c>
      <c r="U130" s="129">
        <f t="shared" si="88"/>
        <v>3.6470359781021102</v>
      </c>
      <c r="V130" s="134">
        <f t="shared" si="89"/>
        <v>1.6069613514000276</v>
      </c>
      <c r="W130" s="129">
        <f>EDisponible!AT42</f>
        <v>132199.01071500129</v>
      </c>
      <c r="X130" s="129">
        <f t="shared" si="90"/>
        <v>127987.17939081271</v>
      </c>
      <c r="Y130" s="129">
        <f t="shared" si="91"/>
        <v>0.32399866780095299</v>
      </c>
      <c r="Z130" s="134">
        <f t="shared" si="92"/>
        <v>0.1427978292034901</v>
      </c>
      <c r="AA130" s="129">
        <f>EDisponible!AZ42</f>
        <v>106291.44439242585</v>
      </c>
      <c r="AB130" s="129">
        <f t="shared" si="93"/>
        <v>144815.49195681946</v>
      </c>
      <c r="AC130" s="129">
        <f t="shared" si="94"/>
        <v>-2.9634947671055474</v>
      </c>
      <c r="AD130" s="134">
        <f t="shared" si="95"/>
        <v>-1.3058949211903581</v>
      </c>
      <c r="AE130" s="129">
        <f>EDisponible!BF42</f>
        <v>84668.816313572737</v>
      </c>
      <c r="AF130" s="129">
        <f t="shared" si="96"/>
        <v>167216.42348892431</v>
      </c>
      <c r="AG130" s="129">
        <f t="shared" si="97"/>
        <v>-6.3500441248375177</v>
      </c>
      <c r="AH130" s="134">
        <f t="shared" si="98"/>
        <v>-2.7964752104009718</v>
      </c>
    </row>
    <row r="131" spans="1:34">
      <c r="A131" s="125">
        <v>135</v>
      </c>
      <c r="B131" s="126"/>
      <c r="C131" s="129">
        <f>EDisponible!P43</f>
        <v>324258.64276581822</v>
      </c>
      <c r="D131" s="129">
        <f t="shared" si="75"/>
        <v>97389.337073072849</v>
      </c>
      <c r="E131" s="129">
        <f t="shared" si="76"/>
        <v>18.123347277751954</v>
      </c>
      <c r="F131" s="134">
        <f t="shared" si="77"/>
        <v>7.6460729952601829</v>
      </c>
      <c r="G131" s="129">
        <f>EDisponible!V43</f>
        <v>292004.32372599276</v>
      </c>
      <c r="H131" s="129">
        <f t="shared" si="78"/>
        <v>97226.89735371618</v>
      </c>
      <c r="I131" s="129">
        <f t="shared" si="79"/>
        <v>15.559702663313656</v>
      </c>
      <c r="J131" s="134">
        <f t="shared" si="80"/>
        <v>6.5747320049390874</v>
      </c>
      <c r="K131" s="129">
        <f>EDisponible!AB43</f>
        <v>242142.52174157125</v>
      </c>
      <c r="L131" s="129">
        <f t="shared" si="81"/>
        <v>99257.675197894307</v>
      </c>
      <c r="M131" s="129">
        <f t="shared" si="82"/>
        <v>11.414288445641237</v>
      </c>
      <c r="N131" s="134">
        <f t="shared" si="83"/>
        <v>4.832879995497672</v>
      </c>
      <c r="O131" s="129">
        <f>EDisponible!AH43</f>
        <v>199429.50744342734</v>
      </c>
      <c r="P131" s="129">
        <f t="shared" si="84"/>
        <v>103776.75471303229</v>
      </c>
      <c r="Q131" s="129">
        <f t="shared" si="85"/>
        <v>7.6411749509811271</v>
      </c>
      <c r="R131" s="134">
        <f t="shared" si="86"/>
        <v>3.2395587904782817</v>
      </c>
      <c r="S131" s="129">
        <f>EDisponible!AN43</f>
        <v>163049.90606369174</v>
      </c>
      <c r="T131" s="129">
        <f t="shared" si="87"/>
        <v>111188.97091399702</v>
      </c>
      <c r="U131" s="129">
        <f t="shared" si="88"/>
        <v>4.1428862974518532</v>
      </c>
      <c r="V131" s="134">
        <f t="shared" si="89"/>
        <v>1.7577439041801308</v>
      </c>
      <c r="W131" s="129">
        <f>EDisponible!AT43</f>
        <v>132255.6816189489</v>
      </c>
      <c r="X131" s="129">
        <f t="shared" si="90"/>
        <v>122047.24166242717</v>
      </c>
      <c r="Y131" s="129">
        <f t="shared" si="91"/>
        <v>0.81549640190942119</v>
      </c>
      <c r="Z131" s="134">
        <f t="shared" si="92"/>
        <v>0.34610321274617079</v>
      </c>
      <c r="AA131" s="129">
        <f>EDisponible!AZ43</f>
        <v>106362.85931044674</v>
      </c>
      <c r="AB131" s="129">
        <f t="shared" si="93"/>
        <v>137106.99065439677</v>
      </c>
      <c r="AC131" s="129">
        <f t="shared" si="94"/>
        <v>-2.455980404214912</v>
      </c>
      <c r="AD131" s="134">
        <f t="shared" si="95"/>
        <v>-1.0422354861873495</v>
      </c>
      <c r="AE131" s="129">
        <f>EDisponible!BF43</f>
        <v>84748.286939623998</v>
      </c>
      <c r="AF131" s="129">
        <f t="shared" si="96"/>
        <v>157404.49210583657</v>
      </c>
      <c r="AG131" s="129">
        <f t="shared" si="97"/>
        <v>-5.8041066158777985</v>
      </c>
      <c r="AH131" s="134">
        <f t="shared" si="98"/>
        <v>-2.4618232652614589</v>
      </c>
    </row>
    <row r="132" spans="1:34">
      <c r="A132" s="125">
        <v>140</v>
      </c>
      <c r="B132" s="126"/>
      <c r="C132" s="129">
        <f>EDisponible!P44</f>
        <v>322258.55059830536</v>
      </c>
      <c r="D132" s="129">
        <f t="shared" si="75"/>
        <v>98245.430567277042</v>
      </c>
      <c r="E132" s="129">
        <f t="shared" si="76"/>
        <v>18.557966763115672</v>
      </c>
      <c r="F132" s="134">
        <f t="shared" si="77"/>
        <v>7.5509299387243338</v>
      </c>
      <c r="G132" s="129">
        <f>EDisponible!V44</f>
        <v>291595.62480559025</v>
      </c>
      <c r="H132" s="129">
        <f t="shared" si="78"/>
        <v>97047.737129739791</v>
      </c>
      <c r="I132" s="129">
        <f t="shared" si="79"/>
        <v>16.116972223871137</v>
      </c>
      <c r="J132" s="134">
        <f t="shared" si="80"/>
        <v>6.5670516217855148</v>
      </c>
      <c r="K132" s="129">
        <f>EDisponible!AB44</f>
        <v>242189.03249833838</v>
      </c>
      <c r="L132" s="129">
        <f t="shared" si="81"/>
        <v>98002.063980872525</v>
      </c>
      <c r="M132" s="129">
        <f t="shared" si="82"/>
        <v>11.944911838426728</v>
      </c>
      <c r="N132" s="134">
        <f t="shared" si="83"/>
        <v>4.8767109983956241</v>
      </c>
      <c r="O132" s="129">
        <f>EDisponible!AH44</f>
        <v>199507.27437404735</v>
      </c>
      <c r="P132" s="129">
        <f t="shared" si="84"/>
        <v>101374.09969060027</v>
      </c>
      <c r="Q132" s="129">
        <f t="shared" si="85"/>
        <v>8.1296675564457352</v>
      </c>
      <c r="R132" s="134">
        <f t="shared" si="86"/>
        <v>3.323379570827818</v>
      </c>
      <c r="S132" s="129">
        <f>EDisponible!AN44</f>
        <v>163148.52189079809</v>
      </c>
      <c r="T132" s="129">
        <f t="shared" si="87"/>
        <v>107531.97137268326</v>
      </c>
      <c r="U132" s="129">
        <f t="shared" si="88"/>
        <v>4.6074537770437614</v>
      </c>
      <c r="V132" s="134">
        <f t="shared" si="89"/>
        <v>1.8849457846687461</v>
      </c>
      <c r="W132" s="129">
        <f>EDisponible!AT44</f>
        <v>132366.61784009167</v>
      </c>
      <c r="X132" s="129">
        <f t="shared" si="90"/>
        <v>116981.88387905658</v>
      </c>
      <c r="Y132" s="129">
        <f t="shared" si="91"/>
        <v>1.2745208024812114</v>
      </c>
      <c r="Z132" s="134">
        <f t="shared" si="92"/>
        <v>0.52159032579739284</v>
      </c>
      <c r="AA132" s="129">
        <f>EDisponible!AZ44</f>
        <v>106479.25698566524</v>
      </c>
      <c r="AB132" s="129">
        <f t="shared" si="93"/>
        <v>130418.72110272048</v>
      </c>
      <c r="AC132" s="129">
        <f t="shared" si="94"/>
        <v>-1.9832221405138026</v>
      </c>
      <c r="AD132" s="134">
        <f t="shared" si="95"/>
        <v>-0.81159041858452363</v>
      </c>
      <c r="AE132" s="129">
        <f>EDisponible!BF44</f>
        <v>84864.759392703956</v>
      </c>
      <c r="AF132" s="129">
        <f t="shared" si="96"/>
        <v>148798.89068740644</v>
      </c>
      <c r="AG132" s="129">
        <f t="shared" si="97"/>
        <v>-5.2965088983690807</v>
      </c>
      <c r="AH132" s="134">
        <f t="shared" si="98"/>
        <v>-2.1665924877546976</v>
      </c>
    </row>
    <row r="133" spans="1:34">
      <c r="A133" s="125">
        <v>145</v>
      </c>
      <c r="B133" s="126"/>
      <c r="C133" s="129">
        <f>EDisponible!P45</f>
        <v>320300.00825106644</v>
      </c>
      <c r="D133" s="129">
        <f t="shared" si="75"/>
        <v>99564.34225633493</v>
      </c>
      <c r="E133" s="129">
        <f t="shared" si="76"/>
        <v>18.939539507378907</v>
      </c>
      <c r="F133" s="134">
        <f t="shared" si="77"/>
        <v>7.4417023142151901</v>
      </c>
      <c r="G133" s="129">
        <f>EDisponible!V45</f>
        <v>290027.42136903282</v>
      </c>
      <c r="H133" s="129">
        <f t="shared" si="78"/>
        <v>97361.779079043336</v>
      </c>
      <c r="I133" s="129">
        <f t="shared" si="79"/>
        <v>16.531078144629703</v>
      </c>
      <c r="J133" s="134">
        <f t="shared" si="80"/>
        <v>6.5040626227146774</v>
      </c>
      <c r="K133" s="129">
        <f>EDisponible!AB45</f>
        <v>242325.14755887157</v>
      </c>
      <c r="L133" s="129">
        <f t="shared" si="81"/>
        <v>97282.284182371877</v>
      </c>
      <c r="M133" s="129">
        <f t="shared" si="82"/>
        <v>12.44495323763466</v>
      </c>
      <c r="N133" s="134">
        <f t="shared" si="83"/>
        <v>4.9055183431255456</v>
      </c>
      <c r="O133" s="129">
        <f>EDisponible!AH45</f>
        <v>199660.84998639708</v>
      </c>
      <c r="P133" s="129">
        <f t="shared" si="84"/>
        <v>99564.51696271234</v>
      </c>
      <c r="Q133" s="129">
        <f t="shared" si="85"/>
        <v>8.5884555416209061</v>
      </c>
      <c r="R133" s="134">
        <f t="shared" si="86"/>
        <v>3.3897104095701573</v>
      </c>
      <c r="S133" s="129">
        <f>EDisponible!AN45</f>
        <v>163310.88541590347</v>
      </c>
      <c r="T133" s="129">
        <f t="shared" si="87"/>
        <v>104543.03400388641</v>
      </c>
      <c r="U133" s="129">
        <f t="shared" si="88"/>
        <v>5.0423933013536475</v>
      </c>
      <c r="V133" s="134">
        <f t="shared" si="89"/>
        <v>1.9916653764089278</v>
      </c>
      <c r="W133" s="129">
        <f>EDisponible!AT45</f>
        <v>132530.80954170923</v>
      </c>
      <c r="X133" s="129">
        <f t="shared" si="90"/>
        <v>112681.50899398445</v>
      </c>
      <c r="Y133" s="129">
        <f t="shared" si="91"/>
        <v>1.7031076977222341</v>
      </c>
      <c r="Z133" s="134">
        <f t="shared" si="92"/>
        <v>0.67294066302691091</v>
      </c>
      <c r="AA133" s="129">
        <f>EDisponible!AZ45</f>
        <v>106639.83134660976</v>
      </c>
      <c r="AB133" s="129">
        <f t="shared" si="93"/>
        <v>124619.90056467574</v>
      </c>
      <c r="AC133" s="129">
        <f t="shared" si="94"/>
        <v>-1.5427240983751844</v>
      </c>
      <c r="AD133" s="134">
        <f t="shared" si="95"/>
        <v>-0.60957410174435966</v>
      </c>
      <c r="AE133" s="129">
        <f>EDisponible!BF45</f>
        <v>85017.598036398427</v>
      </c>
      <c r="AF133" s="129">
        <f t="shared" si="96"/>
        <v>141242.35584318024</v>
      </c>
      <c r="AG133" s="129">
        <f t="shared" si="97"/>
        <v>-4.8241910385237468</v>
      </c>
      <c r="AH133" s="134">
        <f t="shared" si="98"/>
        <v>-1.9055439182735159</v>
      </c>
    </row>
    <row r="134" spans="1:34">
      <c r="A134" s="125">
        <v>150</v>
      </c>
      <c r="B134" s="126"/>
      <c r="C134" s="129">
        <f>EDisponible!P46</f>
        <v>318378.52239014959</v>
      </c>
      <c r="D134" s="129">
        <f t="shared" si="75"/>
        <v>101304.39373779233</v>
      </c>
      <c r="E134" s="129">
        <f t="shared" si="76"/>
        <v>19.26762687623301</v>
      </c>
      <c r="F134" s="134">
        <f t="shared" si="77"/>
        <v>7.3196100258528203</v>
      </c>
      <c r="G134" s="129">
        <f>EDisponible!V46</f>
        <v>288499.48121639621</v>
      </c>
      <c r="H134" s="129">
        <f t="shared" si="78"/>
        <v>98120.776706340112</v>
      </c>
      <c r="I134" s="129">
        <f t="shared" si="79"/>
        <v>16.898125384415984</v>
      </c>
      <c r="J134" s="134">
        <f t="shared" si="80"/>
        <v>6.4275094284126588</v>
      </c>
      <c r="K134" s="129">
        <f>EDisponible!AB46</f>
        <v>242549.19647972318</v>
      </c>
      <c r="L134" s="129">
        <f t="shared" si="81"/>
        <v>97042.194326597644</v>
      </c>
      <c r="M134" s="129">
        <f t="shared" si="82"/>
        <v>12.915286785997246</v>
      </c>
      <c r="N134" s="134">
        <f t="shared" si="83"/>
        <v>4.9211390897563581</v>
      </c>
      <c r="O134" s="129">
        <f>EDisponible!AH46</f>
        <v>199888.86449374186</v>
      </c>
      <c r="P134" s="129">
        <f t="shared" si="84"/>
        <v>98282.311516068716</v>
      </c>
      <c r="Q134" s="129">
        <f t="shared" si="85"/>
        <v>9.0186571891728224</v>
      </c>
      <c r="R134" s="134">
        <f t="shared" si="86"/>
        <v>3.4407312674773007</v>
      </c>
      <c r="S134" s="129">
        <f>EDisponible!AN46</f>
        <v>163535.88374363829</v>
      </c>
      <c r="T134" s="129">
        <f t="shared" si="87"/>
        <v>102144.81991916249</v>
      </c>
      <c r="U134" s="129">
        <f t="shared" si="88"/>
        <v>5.4491068035074246</v>
      </c>
      <c r="V134" s="134">
        <f t="shared" si="89"/>
        <v>2.0804906086915933</v>
      </c>
      <c r="W134" s="129">
        <f>EDisponible!AT46</f>
        <v>132747.36177613662</v>
      </c>
      <c r="X134" s="129">
        <f t="shared" si="90"/>
        <v>109054.47615763675</v>
      </c>
      <c r="Y134" s="129">
        <f t="shared" si="91"/>
        <v>2.1029944127962543</v>
      </c>
      <c r="Z134" s="134">
        <f t="shared" si="92"/>
        <v>0.80323206978435391</v>
      </c>
      <c r="AA134" s="129">
        <f>EDisponible!AZ46</f>
        <v>106843.87091657701</v>
      </c>
      <c r="AB134" s="129">
        <f t="shared" si="93"/>
        <v>119601.17352843174</v>
      </c>
      <c r="AC134" s="129">
        <f t="shared" si="94"/>
        <v>-1.1323456562898908</v>
      </c>
      <c r="AD134" s="134">
        <f t="shared" si="95"/>
        <v>-0.43251596457019287</v>
      </c>
      <c r="AE134" s="129">
        <f>EDisponible!BF46</f>
        <v>85206.244513121346</v>
      </c>
      <c r="AF134" s="129">
        <f t="shared" si="96"/>
        <v>134603.38995401707</v>
      </c>
      <c r="AG134" s="129">
        <f t="shared" si="97"/>
        <v>-4.3845195787031797</v>
      </c>
      <c r="AH134" s="134">
        <f t="shared" si="98"/>
        <v>-1.6742863852165868</v>
      </c>
    </row>
    <row r="135" spans="1:34">
      <c r="A135" s="125">
        <v>155</v>
      </c>
      <c r="B135" s="126"/>
      <c r="C135" s="129">
        <f>EDisponible!P47</f>
        <v>316489.71720728913</v>
      </c>
      <c r="D135" s="129">
        <f t="shared" si="75"/>
        <v>103430.5186035456</v>
      </c>
      <c r="E135" s="129">
        <f t="shared" si="76"/>
        <v>19.541634643226111</v>
      </c>
      <c r="F135" s="134">
        <f t="shared" si="77"/>
        <v>7.1856571912526199</v>
      </c>
      <c r="G135" s="129">
        <f>EDisponible!V47</f>
        <v>287008.0270815554</v>
      </c>
      <c r="H135" s="129">
        <f t="shared" si="78"/>
        <v>99284.137493835107</v>
      </c>
      <c r="I135" s="129">
        <f t="shared" si="79"/>
        <v>17.217898537914113</v>
      </c>
      <c r="J135" s="134">
        <f t="shared" si="80"/>
        <v>6.3386129812115168</v>
      </c>
      <c r="K135" s="129">
        <f>EDisponible!AB47</f>
        <v>242859.68709754501</v>
      </c>
      <c r="L135" s="129">
        <f t="shared" si="81"/>
        <v>97234.55940006976</v>
      </c>
      <c r="M135" s="129">
        <f t="shared" si="82"/>
        <v>13.356630734493001</v>
      </c>
      <c r="N135" s="134">
        <f t="shared" si="83"/>
        <v>4.9251145277016652</v>
      </c>
      <c r="O135" s="129">
        <f>EDisponible!AH47</f>
        <v>200190.09800967755</v>
      </c>
      <c r="P135" s="129">
        <f t="shared" si="84"/>
        <v>97472.21040326517</v>
      </c>
      <c r="Q135" s="129">
        <f t="shared" si="85"/>
        <v>9.4212098988586241</v>
      </c>
      <c r="R135" s="134">
        <f t="shared" si="86"/>
        <v>3.4782728081496095</v>
      </c>
      <c r="S135" s="129">
        <f>EDisponible!AN47</f>
        <v>163822.52923902863</v>
      </c>
      <c r="T135" s="129">
        <f t="shared" si="87"/>
        <v>100272.25951735686</v>
      </c>
      <c r="U135" s="129">
        <f t="shared" si="88"/>
        <v>5.828784490497771</v>
      </c>
      <c r="V135" s="134">
        <f t="shared" si="89"/>
        <v>2.1535965165143347</v>
      </c>
      <c r="W135" s="129">
        <f>EDisponible!AT47</f>
        <v>133015.48357244002</v>
      </c>
      <c r="X135" s="129">
        <f t="shared" si="90"/>
        <v>106023.68271633914</v>
      </c>
      <c r="Y135" s="129">
        <f t="shared" si="91"/>
        <v>2.4756683313807106</v>
      </c>
      <c r="Z135" s="134">
        <f t="shared" si="92"/>
        <v>0.91505346334304438</v>
      </c>
      <c r="AA135" s="129">
        <f>EDisponible!AZ47</f>
        <v>107090.7499119729</v>
      </c>
      <c r="AB135" s="129">
        <f t="shared" si="93"/>
        <v>115270.53298843087</v>
      </c>
      <c r="AC135" s="129">
        <f t="shared" si="94"/>
        <v>-0.75024375097868778</v>
      </c>
      <c r="AD135" s="134">
        <f t="shared" si="95"/>
        <v>-0.27732557965583043</v>
      </c>
      <c r="AE135" s="129">
        <f>EDisponible!BF47</f>
        <v>85430.210544902046</v>
      </c>
      <c r="AF135" s="129">
        <f t="shared" si="96"/>
        <v>128771.35660139046</v>
      </c>
      <c r="AG135" s="129">
        <f t="shared" si="97"/>
        <v>-3.9752183750104257</v>
      </c>
      <c r="AH135" s="134">
        <f t="shared" si="98"/>
        <v>-1.4691181832313682</v>
      </c>
    </row>
    <row r="136" spans="1:34">
      <c r="A136" s="125">
        <v>160</v>
      </c>
      <c r="B136" s="126"/>
      <c r="C136" s="129">
        <f>EDisponible!P48</f>
        <v>314629.30978701601</v>
      </c>
      <c r="D136" s="129">
        <f t="shared" si="75"/>
        <v>105913.04250803385</v>
      </c>
      <c r="E136" s="129">
        <f t="shared" si="76"/>
        <v>19.760830082750335</v>
      </c>
      <c r="F136" s="134">
        <f t="shared" si="77"/>
        <v>7.0406721118443922</v>
      </c>
      <c r="G136" s="129">
        <f>EDisponible!V48</f>
        <v>285549.36494093604</v>
      </c>
      <c r="H136" s="129">
        <f t="shared" si="78"/>
        <v>100817.51072055692</v>
      </c>
      <c r="I136" s="129">
        <f t="shared" si="79"/>
        <v>17.490034819571154</v>
      </c>
      <c r="J136" s="134">
        <f t="shared" si="80"/>
        <v>6.2383879914293825</v>
      </c>
      <c r="K136" s="129">
        <f>EDisponible!AB48</f>
        <v>243255.28898137427</v>
      </c>
      <c r="L136" s="129">
        <f t="shared" si="81"/>
        <v>97819.407583933978</v>
      </c>
      <c r="M136" s="129">
        <f t="shared" si="82"/>
        <v>13.769572337111525</v>
      </c>
      <c r="N136" s="134">
        <f t="shared" si="83"/>
        <v>4.918745544322995</v>
      </c>
      <c r="O136" s="129">
        <f>EDisponible!AH48</f>
        <v>200563.46674410003</v>
      </c>
      <c r="P136" s="129">
        <f t="shared" si="84"/>
        <v>97087.439841922896</v>
      </c>
      <c r="Q136" s="129">
        <f t="shared" si="85"/>
        <v>9.7968989763450747</v>
      </c>
      <c r="R136" s="134">
        <f t="shared" si="86"/>
        <v>3.5038814880183669</v>
      </c>
      <c r="S136" s="129">
        <f>EDisponible!AN48</f>
        <v>164169.948090199</v>
      </c>
      <c r="T136" s="129">
        <f t="shared" si="87"/>
        <v>98870.288766120822</v>
      </c>
      <c r="U136" s="129">
        <f t="shared" si="88"/>
        <v>6.1824384327446928</v>
      </c>
      <c r="V136" s="134">
        <f t="shared" si="89"/>
        <v>2.2128218233009438</v>
      </c>
      <c r="W136" s="129">
        <f>EDisponible!AT48</f>
        <v>133334.4785291923</v>
      </c>
      <c r="X136" s="129">
        <f t="shared" si="90"/>
        <v>103523.88187372641</v>
      </c>
      <c r="Y136" s="129">
        <f t="shared" si="91"/>
        <v>2.8224064317261193</v>
      </c>
      <c r="Z136" s="134">
        <f t="shared" si="92"/>
        <v>1.0105950398705048</v>
      </c>
      <c r="AA136" s="129">
        <f>EDisponible!AZ48</f>
        <v>107379.92056580658</v>
      </c>
      <c r="AB136" s="129">
        <f t="shared" si="93"/>
        <v>111550.11959652213</v>
      </c>
      <c r="AC136" s="129">
        <f t="shared" si="94"/>
        <v>-0.39482593058772342</v>
      </c>
      <c r="AD136" s="134">
        <f t="shared" si="95"/>
        <v>-0.14138633467281506</v>
      </c>
      <c r="AE136" s="129">
        <f>EDisponible!BF48</f>
        <v>85689.071722674431</v>
      </c>
      <c r="AF136" s="129">
        <f t="shared" si="96"/>
        <v>123652.63161640117</v>
      </c>
      <c r="AG136" s="129">
        <f t="shared" si="97"/>
        <v>-3.5943123465000477</v>
      </c>
      <c r="AH136" s="134">
        <f t="shared" si="98"/>
        <v>-1.2869018482582002</v>
      </c>
    </row>
    <row r="137" spans="1:34">
      <c r="A137" s="125">
        <v>165</v>
      </c>
      <c r="B137" s="126"/>
      <c r="C137" s="129">
        <f>EDisponible!P49</f>
        <v>312793.08839496173</v>
      </c>
      <c r="D137" s="129">
        <f t="shared" si="75"/>
        <v>108726.71797800525</v>
      </c>
      <c r="E137" s="129">
        <f t="shared" si="76"/>
        <v>19.924355695218456</v>
      </c>
      <c r="F137" s="134">
        <f t="shared" si="77"/>
        <v>6.8853387744165007</v>
      </c>
      <c r="G137" s="129">
        <f>EDisponible!V49</f>
        <v>284119.86536267243</v>
      </c>
      <c r="H137" s="129">
        <f t="shared" si="78"/>
        <v>102691.67016794828</v>
      </c>
      <c r="I137" s="129">
        <f t="shared" si="79"/>
        <v>17.714040225320925</v>
      </c>
      <c r="J137" s="134">
        <f t="shared" si="80"/>
        <v>6.1276799443415984</v>
      </c>
      <c r="K137" s="129">
        <f>EDisponible!AB49</f>
        <v>243734.81910126211</v>
      </c>
      <c r="L137" s="129">
        <f t="shared" si="81"/>
        <v>98762.730127255156</v>
      </c>
      <c r="M137" s="129">
        <f t="shared" si="82"/>
        <v>14.154588336604041</v>
      </c>
      <c r="N137" s="134">
        <f t="shared" si="83"/>
        <v>4.9031363425120222</v>
      </c>
      <c r="O137" s="129">
        <f>EDisponible!AH49</f>
        <v>201008.01104473195</v>
      </c>
      <c r="P137" s="129">
        <f t="shared" si="84"/>
        <v>97088.203846749893</v>
      </c>
      <c r="Q137" s="129">
        <f t="shared" si="85"/>
        <v>10.146381288403955</v>
      </c>
      <c r="R137" s="134">
        <f t="shared" si="86"/>
        <v>3.5188709959261617</v>
      </c>
      <c r="S137" s="129">
        <f>EDisponible!AN49</f>
        <v>164577.3703972279</v>
      </c>
      <c r="T137" s="129">
        <f t="shared" si="87"/>
        <v>97892.058184612106</v>
      </c>
      <c r="U137" s="129">
        <f t="shared" si="88"/>
        <v>6.5109301324665978</v>
      </c>
      <c r="V137" s="134">
        <f t="shared" si="89"/>
        <v>2.2597295301359108</v>
      </c>
      <c r="W137" s="129">
        <f>EDisponible!AT49</f>
        <v>133703.73665983928</v>
      </c>
      <c r="X137" s="129">
        <f t="shared" si="90"/>
        <v>101499.56046801325</v>
      </c>
      <c r="Y137" s="129">
        <f t="shared" si="91"/>
        <v>3.1443077073718126</v>
      </c>
      <c r="Z137" s="134">
        <f t="shared" si="92"/>
        <v>1.0917197468862136</v>
      </c>
      <c r="AA137" s="129">
        <f>EDisponible!AZ49</f>
        <v>107710.90647092408</v>
      </c>
      <c r="AB137" s="129">
        <f t="shared" si="93"/>
        <v>108373.68920232281</v>
      </c>
      <c r="AC137" s="129">
        <f t="shared" si="94"/>
        <v>-6.4711882031590104E-2</v>
      </c>
      <c r="AD137" s="134">
        <f t="shared" si="95"/>
        <v>-2.2471015361558069E-2</v>
      </c>
      <c r="AE137" s="129">
        <f>EDisponible!BF49</f>
        <v>85982.462118444513</v>
      </c>
      <c r="AF137" s="129">
        <f t="shared" si="96"/>
        <v>119167.55785226727</v>
      </c>
      <c r="AG137" s="129">
        <f t="shared" si="97"/>
        <v>-3.2400814001326541</v>
      </c>
      <c r="AH137" s="134">
        <f t="shared" si="98"/>
        <v>-1.1249644444407609</v>
      </c>
    </row>
    <row r="138" spans="1:34">
      <c r="A138" s="125">
        <v>170</v>
      </c>
      <c r="B138" s="126"/>
      <c r="C138" s="129">
        <f>EDisponible!P50</f>
        <v>310976.89318043471</v>
      </c>
      <c r="D138" s="129">
        <f t="shared" si="75"/>
        <v>111849.95493560343</v>
      </c>
      <c r="E138" s="129">
        <f t="shared" si="76"/>
        <v>20.031240236000503</v>
      </c>
      <c r="F138" s="134">
        <f t="shared" si="77"/>
        <v>6.7202218668894744</v>
      </c>
      <c r="G138" s="129">
        <f>EDisponible!V50</f>
        <v>282715.94689293788</v>
      </c>
      <c r="H138" s="129">
        <f t="shared" si="78"/>
        <v>104881.62338120765</v>
      </c>
      <c r="I138" s="129">
        <f t="shared" si="79"/>
        <v>17.889302612036552</v>
      </c>
      <c r="J138" s="134">
        <f t="shared" si="80"/>
        <v>6.0071945026403819</v>
      </c>
      <c r="K138" s="129">
        <f>EDisponible!AB50</f>
        <v>244297.22935235463</v>
      </c>
      <c r="L138" s="129">
        <f t="shared" si="81"/>
        <v>100035.44484928717</v>
      </c>
      <c r="M138" s="129">
        <f t="shared" si="82"/>
        <v>14.512061942629137</v>
      </c>
      <c r="N138" s="134">
        <f t="shared" si="83"/>
        <v>4.8792292217768303</v>
      </c>
      <c r="O138" s="129">
        <f>EDisponible!AH50</f>
        <v>201522.88498386682</v>
      </c>
      <c r="P138" s="129">
        <f t="shared" si="84"/>
        <v>97440.471352052569</v>
      </c>
      <c r="Q138" s="129">
        <f t="shared" si="85"/>
        <v>10.470204836063974</v>
      </c>
      <c r="R138" s="134">
        <f t="shared" si="86"/>
        <v>3.5243632111475951</v>
      </c>
      <c r="S138" s="129">
        <f>EDisponible!AN50</f>
        <v>165044.12153894731</v>
      </c>
      <c r="T138" s="129">
        <f t="shared" si="87"/>
        <v>97297.504993920942</v>
      </c>
      <c r="U138" s="129">
        <f t="shared" si="88"/>
        <v>6.8149933060342942</v>
      </c>
      <c r="V138" s="134">
        <f t="shared" si="89"/>
        <v>2.2956552064279103</v>
      </c>
      <c r="W138" s="129">
        <f>EDisponible!AT50</f>
        <v>134122.7272870618</v>
      </c>
      <c r="X138" s="129">
        <f t="shared" si="90"/>
        <v>99903.247076097352</v>
      </c>
      <c r="Y138" s="129">
        <f t="shared" si="91"/>
        <v>3.4423199337003139</v>
      </c>
      <c r="Z138" s="134">
        <f t="shared" si="92"/>
        <v>1.1600203203160089</v>
      </c>
      <c r="AA138" s="129">
        <f>EDisponible!AZ50</f>
        <v>108083.29677733926</v>
      </c>
      <c r="AB138" s="129">
        <f t="shared" si="93"/>
        <v>105684.59390487154</v>
      </c>
      <c r="AC138" s="129">
        <f t="shared" si="94"/>
        <v>0.24129830909220348</v>
      </c>
      <c r="AD138" s="134">
        <f t="shared" si="95"/>
        <v>8.1325678999822806E-2</v>
      </c>
      <c r="AE138" s="129">
        <f>EDisponible!BF50</f>
        <v>86310.0695867498</v>
      </c>
      <c r="AF138" s="129">
        <f t="shared" si="96"/>
        <v>115248.01744294757</v>
      </c>
      <c r="AG138" s="129">
        <f t="shared" si="97"/>
        <v>-2.9110224390215049</v>
      </c>
      <c r="AH138" s="134">
        <f t="shared" si="98"/>
        <v>-0.98101765127833407</v>
      </c>
    </row>
    <row r="139" spans="1:34">
      <c r="A139" s="125">
        <v>175</v>
      </c>
      <c r="B139" s="126"/>
      <c r="C139" s="129">
        <f>EDisponible!P51</f>
        <v>309176.59888214694</v>
      </c>
      <c r="D139" s="129">
        <f t="shared" si="75"/>
        <v>115264.20286004369</v>
      </c>
      <c r="E139" s="129">
        <f t="shared" si="76"/>
        <v>20.080407566283768</v>
      </c>
      <c r="F139" s="134">
        <f t="shared" si="77"/>
        <v>6.5457867843702902</v>
      </c>
      <c r="G139" s="129">
        <f>EDisponible!V51</f>
        <v>281334.0611324808</v>
      </c>
      <c r="H139" s="129">
        <f t="shared" si="78"/>
        <v>107365.89646592211</v>
      </c>
      <c r="I139" s="129">
        <f t="shared" si="79"/>
        <v>18.015102292195252</v>
      </c>
      <c r="J139" s="134">
        <f t="shared" si="80"/>
        <v>5.8775210320519218</v>
      </c>
      <c r="K139" s="129">
        <f>EDisponible!AB51</f>
        <v>244941.59564145177</v>
      </c>
      <c r="L139" s="129">
        <f t="shared" si="81"/>
        <v>101612.56390135341</v>
      </c>
      <c r="M139" s="129">
        <f t="shared" si="82"/>
        <v>14.842296998351436</v>
      </c>
      <c r="N139" s="134">
        <f t="shared" si="83"/>
        <v>4.8478324470487779</v>
      </c>
      <c r="O139" s="129">
        <f>EDisponible!AH51</f>
        <v>202107.34724648451</v>
      </c>
      <c r="P139" s="129">
        <f t="shared" si="84"/>
        <v>98115.002352506723</v>
      </c>
      <c r="Q139" s="129">
        <f t="shared" si="85"/>
        <v>10.768825057509973</v>
      </c>
      <c r="R139" s="134">
        <f t="shared" si="86"/>
        <v>3.5213210462128317</v>
      </c>
      <c r="S139" s="129">
        <f>EDisponible!AN51</f>
        <v>165569.61461612998</v>
      </c>
      <c r="T139" s="129">
        <f t="shared" si="87"/>
        <v>97052.206649682383</v>
      </c>
      <c r="U139" s="129">
        <f t="shared" si="88"/>
        <v>7.0952528336289449</v>
      </c>
      <c r="V139" s="134">
        <f t="shared" si="89"/>
        <v>2.3217457465740625</v>
      </c>
      <c r="W139" s="129">
        <f>EDisponible!AT51</f>
        <v>134590.9928207855</v>
      </c>
      <c r="X139" s="129">
        <f t="shared" si="90"/>
        <v>98694.153534694051</v>
      </c>
      <c r="Y139" s="129">
        <f t="shared" si="91"/>
        <v>3.7172619079181484</v>
      </c>
      <c r="Z139" s="134">
        <f t="shared" si="92"/>
        <v>1.2168651117015299</v>
      </c>
      <c r="AA139" s="129">
        <f>EDisponible!AZ51</f>
        <v>108496.7411091096</v>
      </c>
      <c r="AB139" s="129">
        <f t="shared" si="93"/>
        <v>103434.16097259318</v>
      </c>
      <c r="AC139" s="129">
        <f t="shared" si="94"/>
        <v>0.5242505098365895</v>
      </c>
      <c r="AD139" s="134">
        <f t="shared" si="95"/>
        <v>0.17164143866732257</v>
      </c>
      <c r="AE139" s="129">
        <f>EDisponible!BF51</f>
        <v>86671.631646880065</v>
      </c>
      <c r="AF139" s="129">
        <f t="shared" si="96"/>
        <v>111835.48248973774</v>
      </c>
      <c r="AG139" s="129">
        <f t="shared" si="97"/>
        <v>-2.6058178395369751</v>
      </c>
      <c r="AH139" s="134">
        <f t="shared" si="98"/>
        <v>-0.85309332132378157</v>
      </c>
    </row>
    <row r="140" spans="1:34">
      <c r="A140" s="125">
        <v>180</v>
      </c>
      <c r="B140" s="126"/>
      <c r="C140" s="129">
        <f>EDisponible!P52</f>
        <v>307388.09920137736</v>
      </c>
      <c r="D140" s="129">
        <f t="shared" si="75"/>
        <v>118953.45137310446</v>
      </c>
      <c r="E140" s="129">
        <f t="shared" si="76"/>
        <v>20.070683728823653</v>
      </c>
      <c r="F140" s="134">
        <f t="shared" si="77"/>
        <v>6.3624157345527479</v>
      </c>
      <c r="G140" s="129">
        <f>EDisponible!V52</f>
        <v>279970.6792199199</v>
      </c>
      <c r="H140" s="129">
        <f t="shared" si="78"/>
        <v>110125.95597090533</v>
      </c>
      <c r="I140" s="129">
        <f t="shared" si="79"/>
        <v>18.090620608409569</v>
      </c>
      <c r="J140" s="134">
        <f t="shared" si="80"/>
        <v>5.7391515487797999</v>
      </c>
      <c r="K140" s="129">
        <f>EDisponible!AB52</f>
        <v>245667.10829658582</v>
      </c>
      <c r="L140" s="129">
        <f t="shared" si="81"/>
        <v>103472.52104750277</v>
      </c>
      <c r="M140" s="129">
        <f t="shared" si="82"/>
        <v>15.145529877434557</v>
      </c>
      <c r="N140" s="134">
        <f t="shared" si="83"/>
        <v>4.8096427285266188</v>
      </c>
      <c r="O140" s="129">
        <f>EDisponible!AH52</f>
        <v>202760.75312040147</v>
      </c>
      <c r="P140" s="129">
        <f t="shared" si="84"/>
        <v>99086.560707850993</v>
      </c>
      <c r="Q140" s="129">
        <f t="shared" si="85"/>
        <v>11.042618492591799</v>
      </c>
      <c r="R140" s="134">
        <f t="shared" si="86"/>
        <v>3.5105749575177652</v>
      </c>
      <c r="S140" s="129">
        <f>EDisponible!AN52</f>
        <v>166153.343806283</v>
      </c>
      <c r="T140" s="129">
        <f t="shared" si="87"/>
        <v>97126.454123183357</v>
      </c>
      <c r="U140" s="129">
        <f t="shared" si="88"/>
        <v>7.3522406180654851</v>
      </c>
      <c r="V140" s="134">
        <f t="shared" si="89"/>
        <v>2.3389906791343011</v>
      </c>
      <c r="W140" s="129">
        <f>EDisponible!AT52</f>
        <v>135108.14328463087</v>
      </c>
      <c r="X140" s="129">
        <f t="shared" si="90"/>
        <v>97837.076847147153</v>
      </c>
      <c r="Y140" s="129">
        <f t="shared" si="91"/>
        <v>3.9698420397953531</v>
      </c>
      <c r="Z140" s="134">
        <f t="shared" si="92"/>
        <v>1.2634351457520197</v>
      </c>
      <c r="AA140" s="129">
        <f>EDisponible!AZ52</f>
        <v>108950.94509071042</v>
      </c>
      <c r="AB140" s="129">
        <f t="shared" si="93"/>
        <v>101580.38248287234</v>
      </c>
      <c r="AC140" s="129">
        <f t="shared" si="94"/>
        <v>0.78505854793873941</v>
      </c>
      <c r="AD140" s="134">
        <f t="shared" si="95"/>
        <v>0.24989031256825267</v>
      </c>
      <c r="AE140" s="129">
        <f>EDisponible!BF52</f>
        <v>87066.93185707365</v>
      </c>
      <c r="AF140" s="129">
        <f t="shared" si="96"/>
        <v>108879.4393814215</v>
      </c>
      <c r="AG140" s="129">
        <f t="shared" si="97"/>
        <v>-2.3233091413886209</v>
      </c>
      <c r="AH140" s="134">
        <f t="shared" si="98"/>
        <v>-0.73949120434566562</v>
      </c>
    </row>
    <row r="141" spans="1:34">
      <c r="A141" s="125">
        <v>185</v>
      </c>
      <c r="B141" s="126"/>
      <c r="C141" s="129">
        <f>EDisponible!P53</f>
        <v>305607.29256665095</v>
      </c>
      <c r="D141" s="129">
        <f t="shared" si="75"/>
        <v>122903.82399981387</v>
      </c>
      <c r="E141" s="129">
        <f t="shared" si="76"/>
        <v>20.000802564263068</v>
      </c>
      <c r="F141" s="134">
        <f t="shared" si="77"/>
        <v>6.1704207831709175</v>
      </c>
      <c r="G141" s="129">
        <f>EDisponible!V53</f>
        <v>278622.27948873327</v>
      </c>
      <c r="H141" s="129">
        <f t="shared" si="78"/>
        <v>113145.73862969564</v>
      </c>
      <c r="I141" s="129">
        <f t="shared" si="79"/>
        <v>18.11494685186052</v>
      </c>
      <c r="J141" s="134">
        <f t="shared" si="80"/>
        <v>5.5924960735549174</v>
      </c>
      <c r="K141" s="129">
        <f>EDisponible!AB53</f>
        <v>246473.06360264076</v>
      </c>
      <c r="L141" s="129">
        <f t="shared" si="81"/>
        <v>105596.62445364681</v>
      </c>
      <c r="M141" s="129">
        <f t="shared" si="82"/>
        <v>15.421939536657952</v>
      </c>
      <c r="N141" s="134">
        <f t="shared" si="83"/>
        <v>4.7652634688307822</v>
      </c>
      <c r="O141" s="129">
        <f>EDisponible!AH53</f>
        <v>203482.54742446353</v>
      </c>
      <c r="P141" s="129">
        <f t="shared" si="84"/>
        <v>100333.27381371122</v>
      </c>
      <c r="Q141" s="129">
        <f t="shared" si="85"/>
        <v>11.291894304574138</v>
      </c>
      <c r="R141" s="134">
        <f t="shared" si="86"/>
        <v>3.4928444785469885</v>
      </c>
      <c r="S141" s="129">
        <f>EDisponible!AN53</f>
        <v>166794.87849445411</v>
      </c>
      <c r="T141" s="129">
        <f t="shared" si="87"/>
        <v>97494.498079357101</v>
      </c>
      <c r="U141" s="129">
        <f t="shared" si="88"/>
        <v>7.5864089345606756</v>
      </c>
      <c r="V141" s="134">
        <f t="shared" si="89"/>
        <v>2.3482476162761601</v>
      </c>
      <c r="W141" s="129">
        <f>EDisponible!AT53</f>
        <v>135673.85147952675</v>
      </c>
      <c r="X141" s="129">
        <f t="shared" si="90"/>
        <v>97301.50596023415</v>
      </c>
      <c r="Y141" s="129">
        <f t="shared" si="91"/>
        <v>4.2006739810650906</v>
      </c>
      <c r="Z141" s="134">
        <f t="shared" si="92"/>
        <v>1.3007542689061475</v>
      </c>
      <c r="AA141" s="129">
        <f>EDisponible!AZ53</f>
        <v>109445.66639231968</v>
      </c>
      <c r="AB141" s="129">
        <f t="shared" si="93"/>
        <v>100086.84943407764</v>
      </c>
      <c r="AC141" s="129">
        <f t="shared" si="94"/>
        <v>1.0245226961763998</v>
      </c>
      <c r="AD141" s="134">
        <f t="shared" si="95"/>
        <v>0.31729852118180102</v>
      </c>
      <c r="AE141" s="129">
        <f>EDisponible!BF53</f>
        <v>87495.796607585813</v>
      </c>
      <c r="AF141" s="129">
        <f t="shared" si="96"/>
        <v>106336.1070872152</v>
      </c>
      <c r="AG141" s="129">
        <f t="shared" si="97"/>
        <v>-2.0624749661752269</v>
      </c>
      <c r="AH141" s="134">
        <f t="shared" si="98"/>
        <v>-0.63873629986374036</v>
      </c>
    </row>
    <row r="142" spans="1:34">
      <c r="A142" s="125">
        <v>190</v>
      </c>
      <c r="B142" s="126"/>
      <c r="C142" s="129">
        <f>EDisponible!P54</f>
        <v>303830.06906174886</v>
      </c>
      <c r="D142" s="129">
        <f t="shared" si="75"/>
        <v>127103.24575421574</v>
      </c>
      <c r="E142" s="129">
        <f t="shared" si="76"/>
        <v>19.869410116986803</v>
      </c>
      <c r="F142" s="134">
        <f t="shared" si="77"/>
        <v>5.9700544821061499</v>
      </c>
      <c r="G142" s="129">
        <f>EDisponible!V54</f>
        <v>277285.33610509167</v>
      </c>
      <c r="H142" s="129">
        <f t="shared" si="78"/>
        <v>116411.26656121502</v>
      </c>
      <c r="I142" s="129">
        <f t="shared" si="79"/>
        <v>18.087083811796717</v>
      </c>
      <c r="J142" s="134">
        <f t="shared" si="80"/>
        <v>5.4378951452338935</v>
      </c>
      <c r="K142" s="129">
        <f>EDisponible!AB54</f>
        <v>247358.85630000907</v>
      </c>
      <c r="L142" s="129">
        <f t="shared" si="81"/>
        <v>107968.60892026097</v>
      </c>
      <c r="M142" s="129">
        <f t="shared" si="82"/>
        <v>15.671656060251289</v>
      </c>
      <c r="N142" s="134">
        <f t="shared" si="83"/>
        <v>4.7152196622836753</v>
      </c>
      <c r="O142" s="129">
        <f>EDisponible!AH54</f>
        <v>204272.25823904554</v>
      </c>
      <c r="P142" s="129">
        <f t="shared" si="84"/>
        <v>101836.10863819846</v>
      </c>
      <c r="Q142" s="129">
        <f t="shared" si="85"/>
        <v>11.516904050736063</v>
      </c>
      <c r="R142" s="134">
        <f t="shared" si="86"/>
        <v>3.4687558134457754</v>
      </c>
      <c r="S142" s="129">
        <f>EDisponible!AN54</f>
        <v>167493.8580678023</v>
      </c>
      <c r="T142" s="129">
        <f t="shared" si="87"/>
        <v>98133.932045382127</v>
      </c>
      <c r="U142" s="129">
        <f t="shared" si="88"/>
        <v>7.7981417310101522</v>
      </c>
      <c r="V142" s="134">
        <f t="shared" si="89"/>
        <v>2.3502630611782966</v>
      </c>
      <c r="W142" s="129">
        <f>EDisponible!AT54</f>
        <v>136287.84869234831</v>
      </c>
      <c r="X142" s="129">
        <f t="shared" si="90"/>
        <v>97060.890864682442</v>
      </c>
      <c r="Y142" s="129">
        <f t="shared" si="91"/>
        <v>4.4102898367800609</v>
      </c>
      <c r="Z142" s="134">
        <f t="shared" si="92"/>
        <v>1.3297138183957766</v>
      </c>
      <c r="AA142" s="129">
        <f>EDisponible!AZ54</f>
        <v>109980.71121898841</v>
      </c>
      <c r="AB142" s="129">
        <f t="shared" si="93"/>
        <v>98921.879559331224</v>
      </c>
      <c r="AC142" s="129">
        <f t="shared" si="94"/>
        <v>1.2433452802921519</v>
      </c>
      <c r="AD142" s="134">
        <f t="shared" si="95"/>
        <v>0.37493379044753622</v>
      </c>
      <c r="AE142" s="129">
        <f>EDisponible!BF54</f>
        <v>87958.092272066919</v>
      </c>
      <c r="AF142" s="129">
        <f t="shared" si="96"/>
        <v>104167.38837183862</v>
      </c>
      <c r="AG142" s="129">
        <f t="shared" si="97"/>
        <v>-1.8224123870182762</v>
      </c>
      <c r="AH142" s="134">
        <f t="shared" si="98"/>
        <v>-0.54954387574052588</v>
      </c>
    </row>
    <row r="143" spans="1:34">
      <c r="A143" s="125">
        <v>195</v>
      </c>
      <c r="B143" s="126"/>
      <c r="C143" s="129">
        <f>EDisponible!P55</f>
        <v>302052.29832722351</v>
      </c>
      <c r="D143" s="129">
        <f t="shared" si="75"/>
        <v>131541.16960631768</v>
      </c>
      <c r="E143" s="129">
        <f t="shared" si="76"/>
        <v>19.675068028081647</v>
      </c>
      <c r="F143" s="134">
        <f t="shared" si="77"/>
        <v>5.7615185751933247</v>
      </c>
      <c r="G143" s="129">
        <f>EDisponible!V55</f>
        <v>275956.30852601147</v>
      </c>
      <c r="H143" s="129">
        <f t="shared" si="78"/>
        <v>119910.3306306874</v>
      </c>
      <c r="I143" s="129">
        <f t="shared" si="79"/>
        <v>18.005952184061734</v>
      </c>
      <c r="J143" s="134">
        <f t="shared" si="80"/>
        <v>5.2756300741262301</v>
      </c>
      <c r="K143" s="129">
        <f>EDisponible!AB55</f>
        <v>248323.97291061073</v>
      </c>
      <c r="L143" s="129">
        <f t="shared" si="81"/>
        <v>110574.26742898196</v>
      </c>
      <c r="M143" s="129">
        <f t="shared" si="82"/>
        <v>15.894767963417769</v>
      </c>
      <c r="N143" s="134">
        <f t="shared" si="83"/>
        <v>4.6599701286066395</v>
      </c>
      <c r="O143" s="129">
        <f>EDisponible!AH55</f>
        <v>205129.49132586599</v>
      </c>
      <c r="P143" s="129">
        <f t="shared" si="84"/>
        <v>103578.44056916784</v>
      </c>
      <c r="Q143" s="129">
        <f t="shared" si="85"/>
        <v>11.717850013365357</v>
      </c>
      <c r="R143" s="134">
        <f t="shared" si="86"/>
        <v>3.4388562918241434</v>
      </c>
      <c r="S143" s="129">
        <f>EDisponible!AN55</f>
        <v>168249.98728047282</v>
      </c>
      <c r="T143" s="129">
        <f t="shared" si="87"/>
        <v>99025.184839832073</v>
      </c>
      <c r="U143" s="129">
        <f t="shared" si="88"/>
        <v>7.9877642442884627</v>
      </c>
      <c r="V143" s="134">
        <f t="shared" si="89"/>
        <v>2.345689514196899</v>
      </c>
      <c r="W143" s="129">
        <f>EDisponible!AT55</f>
        <v>136949.92087284787</v>
      </c>
      <c r="X143" s="129">
        <f t="shared" si="90"/>
        <v>97092.041161338813</v>
      </c>
      <c r="Y143" s="129">
        <f t="shared" si="91"/>
        <v>4.5991513906557522</v>
      </c>
      <c r="Z143" s="134">
        <f t="shared" si="92"/>
        <v>1.351092917945274</v>
      </c>
      <c r="AA143" s="129">
        <f>EDisponible!AZ55</f>
        <v>110555.93118119787</v>
      </c>
      <c r="AB143" s="129">
        <f t="shared" si="93"/>
        <v>98057.799632329043</v>
      </c>
      <c r="AC143" s="129">
        <f t="shared" si="94"/>
        <v>1.4421439251065047</v>
      </c>
      <c r="AD143" s="134">
        <f t="shared" si="95"/>
        <v>0.4237295074215543</v>
      </c>
      <c r="AE143" s="129">
        <f>EDisponible!BF55</f>
        <v>88453.722666785528</v>
      </c>
      <c r="AF143" s="129">
        <f t="shared" si="96"/>
        <v>102340.00678390841</v>
      </c>
      <c r="AG143" s="129">
        <f t="shared" si="97"/>
        <v>-1.6023211312433501</v>
      </c>
      <c r="AH143" s="134">
        <f t="shared" si="98"/>
        <v>-0.47079062609352934</v>
      </c>
    </row>
    <row r="144" spans="1:34">
      <c r="A144" s="125">
        <v>200</v>
      </c>
      <c r="B144" s="126"/>
      <c r="C144" s="129">
        <f>EDisponible!P56</f>
        <v>300269.81827660487</v>
      </c>
      <c r="D144" s="129">
        <f t="shared" si="75"/>
        <v>136208.35020528713</v>
      </c>
      <c r="E144" s="129">
        <f t="shared" si="76"/>
        <v>19.416256073073885</v>
      </c>
      <c r="F144" s="134">
        <f t="shared" si="77"/>
        <v>5.5449711659429539</v>
      </c>
      <c r="G144" s="129">
        <f>EDisponible!V56</f>
        <v>274631.63164343429</v>
      </c>
      <c r="H144" s="129">
        <f t="shared" si="78"/>
        <v>123632.22851390889</v>
      </c>
      <c r="I144" s="129">
        <f t="shared" si="79"/>
        <v>17.870394020670979</v>
      </c>
      <c r="J144" s="134">
        <f t="shared" si="80"/>
        <v>5.105931385410301</v>
      </c>
      <c r="K144" s="129">
        <f>EDisponible!AB56</f>
        <v>247853.48950802637</v>
      </c>
      <c r="L144" s="129">
        <f t="shared" si="81"/>
        <v>113401.1463441275</v>
      </c>
      <c r="M144" s="129">
        <f t="shared" si="82"/>
        <v>15.912091700656067</v>
      </c>
      <c r="N144" s="134">
        <f t="shared" si="83"/>
        <v>4.5488966662707702</v>
      </c>
      <c r="O144" s="129">
        <f>EDisponible!AH56</f>
        <v>206053.92514254642</v>
      </c>
      <c r="P144" s="129">
        <f t="shared" si="84"/>
        <v>105545.69674849276</v>
      </c>
      <c r="Q144" s="129">
        <f t="shared" si="85"/>
        <v>11.894892340605075</v>
      </c>
      <c r="R144" s="134">
        <f t="shared" si="86"/>
        <v>3.4036263073155233</v>
      </c>
      <c r="S144" s="129">
        <f>EDisponible!AN56</f>
        <v>169063.03211053752</v>
      </c>
      <c r="T144" s="129">
        <f t="shared" si="87"/>
        <v>100151.10069102276</v>
      </c>
      <c r="U144" s="129">
        <f t="shared" si="88"/>
        <v>8.1555512251650022</v>
      </c>
      <c r="V144" s="134">
        <f t="shared" si="89"/>
        <v>2.3350996097939261</v>
      </c>
      <c r="W144" s="129">
        <f>EDisponible!AT56</f>
        <v>137659.90521462404</v>
      </c>
      <c r="X144" s="129">
        <f t="shared" si="90"/>
        <v>97374.628532537157</v>
      </c>
      <c r="Y144" s="129">
        <f t="shared" si="91"/>
        <v>4.7676596901718113</v>
      </c>
      <c r="Z144" s="134">
        <f t="shared" si="92"/>
        <v>1.3655752618916341</v>
      </c>
      <c r="AA144" s="129">
        <f>EDisponible!AZ56</f>
        <v>111171.22049445371</v>
      </c>
      <c r="AB144" s="129">
        <f t="shared" si="93"/>
        <v>97470.351763785045</v>
      </c>
      <c r="AC144" s="129">
        <f t="shared" si="94"/>
        <v>1.6214628506347049</v>
      </c>
      <c r="AD144" s="134">
        <f t="shared" si="95"/>
        <v>0.46450471299858953</v>
      </c>
      <c r="AE144" s="129">
        <f>EDisponible!BF56</f>
        <v>88982.626775411714</v>
      </c>
      <c r="AF144" s="129">
        <f t="shared" si="96"/>
        <v>100824.79274035485</v>
      </c>
      <c r="AG144" s="129">
        <f t="shared" si="97"/>
        <v>-1.4014901215879951</v>
      </c>
      <c r="AH144" s="134">
        <f t="shared" si="98"/>
        <v>-0.40149077341769718</v>
      </c>
    </row>
    <row r="145" spans="1:34">
      <c r="A145" s="125">
        <v>205</v>
      </c>
      <c r="B145" s="126"/>
      <c r="C145" s="129">
        <f>EDisponible!P57</f>
        <v>298478.42449369858</v>
      </c>
      <c r="D145" s="129">
        <f t="shared" si="75"/>
        <v>141096.65575365725</v>
      </c>
      <c r="E145" s="129">
        <f t="shared" si="76"/>
        <v>19.091373970916997</v>
      </c>
      <c r="F145" s="134">
        <f t="shared" si="77"/>
        <v>5.320532647490567</v>
      </c>
      <c r="G145" s="129">
        <f>EDisponible!V57</f>
        <v>273307.7065010877</v>
      </c>
      <c r="H145" s="129">
        <f t="shared" si="78"/>
        <v>127567.54692473955</v>
      </c>
      <c r="I145" s="129">
        <f t="shared" si="79"/>
        <v>17.67917536655111</v>
      </c>
      <c r="J145" s="134">
        <f t="shared" si="80"/>
        <v>4.9289858046723838</v>
      </c>
      <c r="K145" s="129">
        <f>EDisponible!AB57</f>
        <v>246913.9909916769</v>
      </c>
      <c r="L145" s="129">
        <f t="shared" si="81"/>
        <v>116438.29200423826</v>
      </c>
      <c r="M145" s="129">
        <f t="shared" si="82"/>
        <v>15.827502660746454</v>
      </c>
      <c r="N145" s="134">
        <f t="shared" si="83"/>
        <v>4.4148957042913723</v>
      </c>
      <c r="O145" s="129">
        <f>EDisponible!AH57</f>
        <v>207045.30637235235</v>
      </c>
      <c r="P145" s="129">
        <f t="shared" si="84"/>
        <v>107725.05954134847</v>
      </c>
      <c r="Q145" s="129">
        <f t="shared" si="85"/>
        <v>12.048155198118922</v>
      </c>
      <c r="R145" s="134">
        <f t="shared" si="86"/>
        <v>3.3634892270619026</v>
      </c>
      <c r="S145" s="129">
        <f>EDisponible!AN57</f>
        <v>169932.81604315824</v>
      </c>
      <c r="T145" s="129">
        <f t="shared" si="87"/>
        <v>101496.59014878079</v>
      </c>
      <c r="U145" s="129">
        <f t="shared" si="88"/>
        <v>8.3017340074873687</v>
      </c>
      <c r="V145" s="134">
        <f t="shared" si="89"/>
        <v>2.3189978575725219</v>
      </c>
      <c r="W145" s="129">
        <f>EDisponible!AT57</f>
        <v>138417.68708604251</v>
      </c>
      <c r="X145" s="129">
        <f t="shared" si="90"/>
        <v>97890.773098422476</v>
      </c>
      <c r="Y145" s="129">
        <f t="shared" si="91"/>
        <v>4.9161632698564999</v>
      </c>
      <c r="Z145" s="134">
        <f t="shared" si="92"/>
        <v>1.373763063522264</v>
      </c>
      <c r="AA145" s="129">
        <f>EDisponible!AZ57</f>
        <v>111826.51346383827</v>
      </c>
      <c r="AB145" s="129">
        <f t="shared" si="93"/>
        <v>97138.199798239162</v>
      </c>
      <c r="AC145" s="129">
        <f t="shared" si="94"/>
        <v>1.7817825497645354</v>
      </c>
      <c r="AD145" s="134">
        <f t="shared" si="95"/>
        <v>0.49798072922158659</v>
      </c>
      <c r="AE145" s="129">
        <f>EDisponible!BF57</f>
        <v>89544.776703741794</v>
      </c>
      <c r="AF145" s="129">
        <f t="shared" si="96"/>
        <v>99596.089979342971</v>
      </c>
      <c r="AG145" s="129">
        <f t="shared" si="97"/>
        <v>-1.2192859578310415</v>
      </c>
      <c r="AH145" s="134">
        <f t="shared" si="98"/>
        <v>-0.34077617386547654</v>
      </c>
    </row>
    <row r="146" spans="1:34">
      <c r="A146" s="125">
        <v>210</v>
      </c>
      <c r="B146" s="126"/>
      <c r="C146" s="129">
        <f>EDisponible!P58</f>
        <v>296673.86019798467</v>
      </c>
      <c r="D146" s="129">
        <f t="shared" si="75"/>
        <v>146198.91085447528</v>
      </c>
      <c r="E146" s="129">
        <f t="shared" si="76"/>
        <v>18.698742566137877</v>
      </c>
      <c r="F146" s="134">
        <f t="shared" si="77"/>
        <v>5.088290631086859</v>
      </c>
      <c r="G146" s="129">
        <f>EDisponible!V58</f>
        <v>271980.89148835442</v>
      </c>
      <c r="H146" s="129">
        <f t="shared" si="78"/>
        <v>131707.97969655885</v>
      </c>
      <c r="I146" s="129">
        <f t="shared" si="79"/>
        <v>17.430988201296174</v>
      </c>
      <c r="J146" s="134">
        <f t="shared" si="80"/>
        <v>4.7449420625731591</v>
      </c>
      <c r="K146" s="129">
        <f>EDisponible!AB58</f>
        <v>245979.33705203244</v>
      </c>
      <c r="L146" s="129">
        <f t="shared" si="81"/>
        <v>119676.03903466885</v>
      </c>
      <c r="M146" s="129">
        <f t="shared" si="82"/>
        <v>15.695056653512973</v>
      </c>
      <c r="N146" s="134">
        <f t="shared" si="83"/>
        <v>4.2742463083182907</v>
      </c>
      <c r="O146" s="129">
        <f>EDisponible!AH58</f>
        <v>208103.44590185027</v>
      </c>
      <c r="P146" s="129">
        <f t="shared" si="84"/>
        <v>110105.21882617362</v>
      </c>
      <c r="Q146" s="129">
        <f t="shared" si="85"/>
        <v>12.177732094415498</v>
      </c>
      <c r="R146" s="134">
        <f t="shared" si="86"/>
        <v>3.3188196558323755</v>
      </c>
      <c r="S146" s="129">
        <f>EDisponible!AN58</f>
        <v>170859.21672429668</v>
      </c>
      <c r="T146" s="129">
        <f t="shared" si="87"/>
        <v>103048.33846993484</v>
      </c>
      <c r="U146" s="129">
        <f t="shared" si="88"/>
        <v>8.4265066125222283</v>
      </c>
      <c r="V146" s="134">
        <f t="shared" si="89"/>
        <v>2.2978304393520848</v>
      </c>
      <c r="W146" s="129">
        <f>EDisponible!AT58</f>
        <v>139223.19726535445</v>
      </c>
      <c r="X146" s="129">
        <f t="shared" si="90"/>
        <v>98624.697875375918</v>
      </c>
      <c r="Y146" s="129">
        <f t="shared" si="91"/>
        <v>5.0449652382452133</v>
      </c>
      <c r="Z146" s="134">
        <f t="shared" si="92"/>
        <v>1.3761887008748037</v>
      </c>
      <c r="AA146" s="129">
        <f>EDisponible!AZ58</f>
        <v>112521.78221621676</v>
      </c>
      <c r="AB146" s="129">
        <f t="shared" si="93"/>
        <v>97042.51697746283</v>
      </c>
      <c r="AC146" s="129">
        <f t="shared" si="94"/>
        <v>1.9235281159768094</v>
      </c>
      <c r="AD146" s="134">
        <f t="shared" si="95"/>
        <v>0.52479505139278348</v>
      </c>
      <c r="AE146" s="129">
        <f>EDisponible!BF58</f>
        <v>90140.175834210604</v>
      </c>
      <c r="AF146" s="129">
        <f t="shared" si="96"/>
        <v>98631.259734506602</v>
      </c>
      <c r="AG146" s="129">
        <f t="shared" si="97"/>
        <v>-1.0551430165074274</v>
      </c>
      <c r="AH146" s="134">
        <f t="shared" si="98"/>
        <v>-0.28787968045353507</v>
      </c>
    </row>
    <row r="147" spans="1:34">
      <c r="A147" s="125">
        <v>215</v>
      </c>
      <c r="B147" s="126"/>
      <c r="C147" s="129">
        <f>EDisponible!P59</f>
        <v>294851.80668205884</v>
      </c>
      <c r="D147" s="129">
        <f t="shared" si="75"/>
        <v>151508.76463771198</v>
      </c>
      <c r="E147" s="129">
        <f t="shared" si="76"/>
        <v>18.236604466582151</v>
      </c>
      <c r="F147" s="134">
        <f t="shared" si="77"/>
        <v>4.8483040602836374</v>
      </c>
      <c r="G147" s="129">
        <f>EDisponible!V59</f>
        <v>270647.49392964615</v>
      </c>
      <c r="H147" s="129">
        <f t="shared" si="78"/>
        <v>136046.17512673693</v>
      </c>
      <c r="I147" s="129">
        <f t="shared" si="79"/>
        <v>17.124451781409565</v>
      </c>
      <c r="J147" s="134">
        <f t="shared" si="80"/>
        <v>4.5539157379872428</v>
      </c>
      <c r="K147" s="129">
        <f>EDisponible!AB59</f>
        <v>245046.39460820096</v>
      </c>
      <c r="L147" s="129">
        <f t="shared" si="81"/>
        <v>123105.83271174879</v>
      </c>
      <c r="M147" s="129">
        <f t="shared" si="82"/>
        <v>15.513705890589319</v>
      </c>
      <c r="N147" s="134">
        <f t="shared" si="83"/>
        <v>4.1271256293328253</v>
      </c>
      <c r="O147" s="129">
        <f>EDisponible!AH59</f>
        <v>209228.21518934079</v>
      </c>
      <c r="P147" s="129">
        <f t="shared" si="84"/>
        <v>112676.16413072187</v>
      </c>
      <c r="Q147" s="129">
        <f t="shared" si="85"/>
        <v>12.28369051250171</v>
      </c>
      <c r="R147" s="134">
        <f t="shared" si="86"/>
        <v>3.2699503588401955</v>
      </c>
      <c r="S147" s="129">
        <f>EDisponible!AN59</f>
        <v>171842.16293765546</v>
      </c>
      <c r="T147" s="129">
        <f t="shared" si="87"/>
        <v>104794.56091227334</v>
      </c>
      <c r="U147" s="129">
        <f t="shared" si="88"/>
        <v>8.5300310439304461</v>
      </c>
      <c r="V147" s="134">
        <f t="shared" si="89"/>
        <v>2.2719934206659342</v>
      </c>
      <c r="W147" s="129">
        <f>EDisponible!AT59</f>
        <v>140076.4094411238</v>
      </c>
      <c r="X147" s="129">
        <f t="shared" si="90"/>
        <v>99562.438817494942</v>
      </c>
      <c r="Y147" s="129">
        <f t="shared" si="91"/>
        <v>5.1543294121333751</v>
      </c>
      <c r="Z147" s="134">
        <f t="shared" si="92"/>
        <v>1.3733244832560856</v>
      </c>
      <c r="AA147" s="129">
        <f>EDisponible!AZ59</f>
        <v>113257.03464838001</v>
      </c>
      <c r="AB147" s="129">
        <f t="shared" si="93"/>
        <v>97166.639931419661</v>
      </c>
      <c r="AC147" s="129">
        <f t="shared" si="94"/>
        <v>2.0470764397033481</v>
      </c>
      <c r="AD147" s="134">
        <f t="shared" si="95"/>
        <v>0.54551300585932139</v>
      </c>
      <c r="AE147" s="129">
        <f>EDisponible!BF59</f>
        <v>90768.857154537283</v>
      </c>
      <c r="AF147" s="129">
        <f t="shared" si="96"/>
        <v>97910.264666621049</v>
      </c>
      <c r="AG147" s="129">
        <f t="shared" si="97"/>
        <v>-0.90855490629436031</v>
      </c>
      <c r="AH147" s="134">
        <f t="shared" si="98"/>
        <v>-0.24212117079530229</v>
      </c>
    </row>
    <row r="148" spans="1:34">
      <c r="A148" s="125">
        <v>220</v>
      </c>
      <c r="B148" s="126"/>
      <c r="C148" s="129">
        <f>EDisponible!P60</f>
        <v>293007.87413903838</v>
      </c>
      <c r="D148" s="129">
        <f t="shared" si="75"/>
        <v>157020.57962324051</v>
      </c>
      <c r="E148" s="129">
        <f t="shared" si="76"/>
        <v>17.703124203673621</v>
      </c>
      <c r="F148" s="134">
        <f t="shared" si="77"/>
        <v>4.6006066599589586</v>
      </c>
      <c r="G148" s="129">
        <f>EDisponible!V60</f>
        <v>269303.76199956052</v>
      </c>
      <c r="H148" s="129">
        <f t="shared" si="78"/>
        <v>140575.60732554793</v>
      </c>
      <c r="I148" s="129">
        <f t="shared" si="79"/>
        <v>16.75811346065872</v>
      </c>
      <c r="J148" s="134">
        <f t="shared" si="80"/>
        <v>4.3559933143551275</v>
      </c>
      <c r="K148" s="129">
        <f>EDisponible!AB60</f>
        <v>244111.981760155</v>
      </c>
      <c r="L148" s="129">
        <f t="shared" si="81"/>
        <v>126720.07925943477</v>
      </c>
      <c r="M148" s="129">
        <f t="shared" si="82"/>
        <v>15.282335293716473</v>
      </c>
      <c r="N148" s="134">
        <f t="shared" si="83"/>
        <v>3.9736771807952604</v>
      </c>
      <c r="O148" s="129">
        <f>EDisponible!AH60</f>
        <v>210419.54297531708</v>
      </c>
      <c r="P148" s="129">
        <f t="shared" si="84"/>
        <v>115429.0094538488</v>
      </c>
      <c r="Q148" s="129">
        <f t="shared" si="85"/>
        <v>12.366075956518261</v>
      </c>
      <c r="R148" s="134">
        <f t="shared" si="86"/>
        <v>3.2171780856138303</v>
      </c>
      <c r="S148" s="129">
        <f>EDisponible!AN60</f>
        <v>172881.6318644727</v>
      </c>
      <c r="T148" s="129">
        <f t="shared" si="87"/>
        <v>106724.7965075019</v>
      </c>
      <c r="U148" s="129">
        <f t="shared" si="88"/>
        <v>8.6124419006687596</v>
      </c>
      <c r="V148" s="134">
        <f t="shared" si="89"/>
        <v>2.241839662515055</v>
      </c>
      <c r="W148" s="129">
        <f>EDisponible!AT60</f>
        <v>140977.33794475385</v>
      </c>
      <c r="X148" s="129">
        <f t="shared" si="90"/>
        <v>100691.6004528359</v>
      </c>
      <c r="Y148" s="129">
        <f t="shared" si="91"/>
        <v>5.2444856484232991</v>
      </c>
      <c r="Z148" s="134">
        <f t="shared" si="92"/>
        <v>1.3655908763363167</v>
      </c>
      <c r="AA148" s="129">
        <f>EDisponible!AZ60</f>
        <v>114032.31256402485</v>
      </c>
      <c r="AB148" s="129">
        <f t="shared" si="93"/>
        <v>97495.777077697669</v>
      </c>
      <c r="AC148" s="129">
        <f t="shared" si="94"/>
        <v>2.1527624522223094</v>
      </c>
      <c r="AD148" s="134">
        <f t="shared" si="95"/>
        <v>0.56063757374418044</v>
      </c>
      <c r="AE148" s="129">
        <f>EDisponible!BF60</f>
        <v>91430.881738578595</v>
      </c>
      <c r="AF148" s="129">
        <f t="shared" si="96"/>
        <v>97415.318220276866</v>
      </c>
      <c r="AG148" s="129">
        <f t="shared" si="97"/>
        <v>-0.77906706432925221</v>
      </c>
      <c r="AH148" s="134">
        <f t="shared" si="98"/>
        <v>-0.20289576435670265</v>
      </c>
    </row>
    <row r="149" spans="1:34">
      <c r="A149" s="125">
        <v>225</v>
      </c>
      <c r="B149" s="126"/>
      <c r="C149" s="129">
        <f>EDisponible!P61</f>
        <v>291137.59280943929</v>
      </c>
      <c r="D149" s="129">
        <f t="shared" si="75"/>
        <v>162729.33767584598</v>
      </c>
      <c r="E149" s="129">
        <f t="shared" si="76"/>
        <v>17.096387969644905</v>
      </c>
      <c r="F149" s="134">
        <f t="shared" si="77"/>
        <v>4.3452098397475662</v>
      </c>
      <c r="G149" s="129">
        <f>EDisponible!V61</f>
        <v>267945.87690387352</v>
      </c>
      <c r="H149" s="129">
        <f t="shared" si="78"/>
        <v>145290.46735064426</v>
      </c>
      <c r="I149" s="129">
        <f t="shared" si="79"/>
        <v>16.330449051862427</v>
      </c>
      <c r="J149" s="134">
        <f t="shared" si="80"/>
        <v>4.1512355892596169</v>
      </c>
      <c r="K149" s="129">
        <f>EDisponible!AB61</f>
        <v>243172.86091096228</v>
      </c>
      <c r="L149" s="129">
        <f t="shared" si="81"/>
        <v>130512.01916920162</v>
      </c>
      <c r="M149" s="129">
        <f t="shared" si="82"/>
        <v>14.999763507416541</v>
      </c>
      <c r="N149" s="134">
        <f t="shared" si="83"/>
        <v>3.8140148784148509</v>
      </c>
      <c r="O149" s="129">
        <f>EDisponible!AH61</f>
        <v>211677.41229316397</v>
      </c>
      <c r="P149" s="129">
        <f t="shared" si="84"/>
        <v>118355.84502837823</v>
      </c>
      <c r="Q149" s="129">
        <f t="shared" si="85"/>
        <v>12.424915502778269</v>
      </c>
      <c r="R149" s="134">
        <f t="shared" si="86"/>
        <v>3.1607684891604717</v>
      </c>
      <c r="S149" s="129">
        <f>EDisponible!AN61</f>
        <v>173977.64659154764</v>
      </c>
      <c r="T149" s="129">
        <f t="shared" si="87"/>
        <v>108829.73355035516</v>
      </c>
      <c r="U149" s="129">
        <f t="shared" si="88"/>
        <v>8.6738504125466651</v>
      </c>
      <c r="V149" s="134">
        <f t="shared" si="89"/>
        <v>2.2076846625975799</v>
      </c>
      <c r="W149" s="129">
        <f>EDisponible!AT61</f>
        <v>141926.03568663393</v>
      </c>
      <c r="X149" s="129">
        <f t="shared" si="90"/>
        <v>102001.14910094815</v>
      </c>
      <c r="Y149" s="129">
        <f t="shared" si="91"/>
        <v>5.3156344971966352</v>
      </c>
      <c r="Z149" s="134">
        <f t="shared" si="92"/>
        <v>1.3533634569611721</v>
      </c>
      <c r="AA149" s="129">
        <f>EDisponible!AZ61</f>
        <v>114847.68997632276</v>
      </c>
      <c r="AB149" s="129">
        <f t="shared" si="93"/>
        <v>98016.761866895875</v>
      </c>
      <c r="AC149" s="129">
        <f t="shared" si="94"/>
        <v>2.2408845642252269</v>
      </c>
      <c r="AD149" s="134">
        <f t="shared" si="95"/>
        <v>0.57061770218481256</v>
      </c>
      <c r="AE149" s="129">
        <f>EDisponible!BF61</f>
        <v>92126.337360565711</v>
      </c>
      <c r="AF149" s="129">
        <f t="shared" si="96"/>
        <v>97130.587906836445</v>
      </c>
      <c r="AG149" s="129">
        <f t="shared" si="97"/>
        <v>-0.66627031686820037</v>
      </c>
      <c r="AH149" s="134">
        <f t="shared" si="98"/>
        <v>-0.16966384707388568</v>
      </c>
    </row>
    <row r="150" spans="1:34">
      <c r="A150" s="125">
        <v>230</v>
      </c>
      <c r="B150" s="126"/>
      <c r="C150" s="129">
        <f>EDisponible!P62</f>
        <v>289236.40438668698</v>
      </c>
      <c r="D150" s="129">
        <f t="shared" si="75"/>
        <v>168630.56011281867</v>
      </c>
      <c r="E150" s="129">
        <f t="shared" si="76"/>
        <v>16.414402976143464</v>
      </c>
      <c r="F150" s="134">
        <f t="shared" si="77"/>
        <v>4.0821051482925181</v>
      </c>
      <c r="G150" s="129">
        <f>EDisponible!V62</f>
        <v>266569.94527454727</v>
      </c>
      <c r="H150" s="129">
        <f t="shared" si="78"/>
        <v>150185.57072441836</v>
      </c>
      <c r="I150" s="129">
        <f t="shared" si="79"/>
        <v>15.839862781891359</v>
      </c>
      <c r="J150" s="134">
        <f t="shared" si="80"/>
        <v>3.9396805500403262</v>
      </c>
      <c r="K150" s="129">
        <f>EDisponible!AB62</f>
        <v>242225.73206459556</v>
      </c>
      <c r="L150" s="129">
        <f t="shared" si="81"/>
        <v>134475.6195836908</v>
      </c>
      <c r="M150" s="129">
        <f t="shared" si="82"/>
        <v>14.664743467738989</v>
      </c>
      <c r="N150" s="134">
        <f t="shared" si="83"/>
        <v>3.6482264476299231</v>
      </c>
      <c r="O150" s="129">
        <f>EDisponible!AH62</f>
        <v>213001.85774414925</v>
      </c>
      <c r="P150" s="129">
        <f t="shared" si="84"/>
        <v>121449.61139178634</v>
      </c>
      <c r="Q150" s="129">
        <f t="shared" si="85"/>
        <v>12.460220929148223</v>
      </c>
      <c r="R150" s="134">
        <f t="shared" si="86"/>
        <v>3.1009602969176839</v>
      </c>
      <c r="S150" s="129">
        <f>EDisponible!AN62</f>
        <v>175130.27383769734</v>
      </c>
      <c r="T150" s="129">
        <f t="shared" si="87"/>
        <v>111101.06134939428</v>
      </c>
      <c r="U150" s="129">
        <f t="shared" si="88"/>
        <v>8.7143479850075938</v>
      </c>
      <c r="V150" s="134">
        <f t="shared" si="89"/>
        <v>2.1698115107941756</v>
      </c>
      <c r="W150" s="129">
        <f>EDisponible!AT62</f>
        <v>142922.59227137646</v>
      </c>
      <c r="X150" s="129">
        <f t="shared" si="90"/>
        <v>103481.2372085589</v>
      </c>
      <c r="Y150" s="129">
        <f t="shared" si="91"/>
        <v>5.3679512781829359</v>
      </c>
      <c r="Z150" s="134">
        <f t="shared" si="92"/>
        <v>1.3369788164063898</v>
      </c>
      <c r="AA150" s="129">
        <f>EDisponible!AZ62</f>
        <v>115703.27155604052</v>
      </c>
      <c r="AB150" s="129">
        <f t="shared" si="93"/>
        <v>98717.843161465629</v>
      </c>
      <c r="AC150" s="129">
        <f t="shared" si="94"/>
        <v>2.3117094206303785</v>
      </c>
      <c r="AD150" s="134">
        <f t="shared" si="95"/>
        <v>0.57585536271506987</v>
      </c>
      <c r="AE150" s="129">
        <f>EDisponible!BF62</f>
        <v>92855.337226490956</v>
      </c>
      <c r="AF150" s="129">
        <f t="shared" si="96"/>
        <v>97041.943239560002</v>
      </c>
      <c r="AG150" s="129">
        <f t="shared" si="97"/>
        <v>-0.56979525838575285</v>
      </c>
      <c r="AH150" s="134">
        <f t="shared" si="98"/>
        <v>-0.14194259436407655</v>
      </c>
    </row>
    <row r="151" spans="1:34">
      <c r="A151" s="125">
        <v>235</v>
      </c>
      <c r="B151" s="126"/>
      <c r="C151" s="129">
        <f>EDisponible!P63</f>
        <v>287299.65362848435</v>
      </c>
      <c r="D151" s="129">
        <f t="shared" si="75"/>
        <v>174720.23958140513</v>
      </c>
      <c r="E151" s="129">
        <f t="shared" si="76"/>
        <v>15.655096470456961</v>
      </c>
      <c r="F151" s="134">
        <f t="shared" si="77"/>
        <v>3.81126635651282</v>
      </c>
      <c r="G151" s="129">
        <f>EDisponible!V63</f>
        <v>265171.99173374608</v>
      </c>
      <c r="H151" s="129">
        <f t="shared" si="78"/>
        <v>155256.27857603194</v>
      </c>
      <c r="I151" s="129">
        <f t="shared" si="79"/>
        <v>15.284686882306024</v>
      </c>
      <c r="J151" s="134">
        <f t="shared" si="80"/>
        <v>3.7213458068379266</v>
      </c>
      <c r="K151" s="129">
        <f>EDisponible!AB63</f>
        <v>241267.22626109983</v>
      </c>
      <c r="L151" s="129">
        <f t="shared" si="81"/>
        <v>138605.48253454559</v>
      </c>
      <c r="M151" s="129">
        <f t="shared" si="82"/>
        <v>14.275962576892036</v>
      </c>
      <c r="N151" s="134">
        <f t="shared" si="83"/>
        <v>3.476376306144453</v>
      </c>
      <c r="O151" s="129">
        <f>EDisponible!AH63</f>
        <v>214392.96300564011</v>
      </c>
      <c r="P151" s="129">
        <f t="shared" si="84"/>
        <v>124703.99200896313</v>
      </c>
      <c r="Q151" s="129">
        <f t="shared" si="85"/>
        <v>12.471991484178652</v>
      </c>
      <c r="R151" s="134">
        <f t="shared" si="86"/>
        <v>3.0379688602130175</v>
      </c>
      <c r="S151" s="129">
        <f>EDisponible!AN63</f>
        <v>176339.62187288346</v>
      </c>
      <c r="T151" s="129">
        <f t="shared" si="87"/>
        <v>113531.34381807801</v>
      </c>
      <c r="U151" s="129">
        <f t="shared" si="88"/>
        <v>8.7340093250092252</v>
      </c>
      <c r="V151" s="134">
        <f t="shared" si="89"/>
        <v>2.1284751086082982</v>
      </c>
      <c r="W151" s="129">
        <f>EDisponible!AT63</f>
        <v>143967.1322709306</v>
      </c>
      <c r="X151" s="129">
        <f t="shared" si="90"/>
        <v>105123.05356436354</v>
      </c>
      <c r="Y151" s="129">
        <f t="shared" si="91"/>
        <v>5.4015896654341065</v>
      </c>
      <c r="Z151" s="134">
        <f t="shared" si="92"/>
        <v>1.3167395893844833</v>
      </c>
      <c r="AA151" s="129">
        <f>EDisponible!AZ63</f>
        <v>116599.19120787342</v>
      </c>
      <c r="AB151" s="129">
        <f t="shared" si="93"/>
        <v>99588.506496225222</v>
      </c>
      <c r="AC151" s="129">
        <f t="shared" si="94"/>
        <v>2.3654760725439123</v>
      </c>
      <c r="AD151" s="134">
        <f t="shared" si="95"/>
        <v>0.57671156743919449</v>
      </c>
      <c r="AE151" s="129">
        <f>EDisponible!BF63</f>
        <v>93618.018808588953</v>
      </c>
      <c r="AF151" s="129">
        <f t="shared" si="96"/>
        <v>97136.740803270877</v>
      </c>
      <c r="AG151" s="129">
        <f t="shared" si="97"/>
        <v>-0.48930732803803784</v>
      </c>
      <c r="AH151" s="134">
        <f t="shared" si="98"/>
        <v>-0.11929874156160643</v>
      </c>
    </row>
    <row r="152" spans="1:34">
      <c r="A152" s="125">
        <v>240</v>
      </c>
      <c r="B152" s="126"/>
      <c r="C152" s="129">
        <f>EDisponible!P64</f>
        <v>285322.58012803749</v>
      </c>
      <c r="D152" s="129">
        <f t="shared" si="75"/>
        <v>180994.78176537296</v>
      </c>
      <c r="E152" s="129">
        <f t="shared" si="76"/>
        <v>14.816314438944003</v>
      </c>
      <c r="F152" s="134">
        <f t="shared" si="77"/>
        <v>3.5326512336662965</v>
      </c>
      <c r="G152" s="129">
        <f>EDisponible!V64</f>
        <v>263747.9515875504</v>
      </c>
      <c r="H152" s="129">
        <f t="shared" si="78"/>
        <v>160498.43016152759</v>
      </c>
      <c r="I152" s="129">
        <f t="shared" si="79"/>
        <v>14.66318085042516</v>
      </c>
      <c r="J152" s="134">
        <f t="shared" si="80"/>
        <v>3.4962306574963877</v>
      </c>
      <c r="K152" s="129">
        <f>EDisponible!AB64</f>
        <v>240293.89911567181</v>
      </c>
      <c r="L152" s="129">
        <f t="shared" si="81"/>
        <v>142896.76642021982</v>
      </c>
      <c r="M152" s="129">
        <f t="shared" si="82"/>
        <v>13.832042524763908</v>
      </c>
      <c r="N152" s="134">
        <f t="shared" si="83"/>
        <v>3.298508008881996</v>
      </c>
      <c r="O152" s="129">
        <f>EDisponible!AH64</f>
        <v>215850.85854560675</v>
      </c>
      <c r="P152" s="129">
        <f t="shared" si="84"/>
        <v>128113.3213879801</v>
      </c>
      <c r="Q152" s="129">
        <f t="shared" si="85"/>
        <v>12.460216347200687</v>
      </c>
      <c r="R152" s="134">
        <f t="shared" si="86"/>
        <v>2.9719891853334492</v>
      </c>
      <c r="S152" s="129">
        <f>EDisponible!AN64</f>
        <v>177605.8386076529</v>
      </c>
      <c r="T152" s="129">
        <f t="shared" si="87"/>
        <v>116113.91130484182</v>
      </c>
      <c r="U152" s="129">
        <f t="shared" si="88"/>
        <v>8.7328952079293707</v>
      </c>
      <c r="V152" s="134">
        <f t="shared" si="89"/>
        <v>2.0839057744171425</v>
      </c>
      <c r="W152" s="129">
        <f>EDisponible!AT64</f>
        <v>145059.81363715307</v>
      </c>
      <c r="X152" s="129">
        <f t="shared" si="90"/>
        <v>106918.69512568803</v>
      </c>
      <c r="Y152" s="129">
        <f t="shared" si="91"/>
        <v>5.4166848509009498</v>
      </c>
      <c r="Z152" s="134">
        <f t="shared" si="92"/>
        <v>1.2929187532175681</v>
      </c>
      <c r="AA152" s="129">
        <f>EDisponible!AZ64</f>
        <v>117535.61075992779</v>
      </c>
      <c r="AB152" s="129">
        <f t="shared" si="93"/>
        <v>100619.3211284365</v>
      </c>
      <c r="AC152" s="129">
        <f t="shared" si="94"/>
        <v>2.4023996504666765</v>
      </c>
      <c r="AD152" s="134">
        <f t="shared" si="95"/>
        <v>0.57351151469468886</v>
      </c>
      <c r="AE152" s="129">
        <f>EDisponible!BF64</f>
        <v>94414.542770687869</v>
      </c>
      <c r="AF152" s="129">
        <f t="shared" si="96"/>
        <v>97428.391441298489</v>
      </c>
      <c r="AG152" s="129">
        <f t="shared" si="97"/>
        <v>-0.42801755884786835</v>
      </c>
      <c r="AH152" s="134">
        <f t="shared" si="98"/>
        <v>-0.10218155700043881</v>
      </c>
    </row>
    <row r="153" spans="1:34">
      <c r="A153" s="125">
        <v>245</v>
      </c>
      <c r="B153" s="126"/>
      <c r="C153" s="129">
        <f>EDisponible!P65</f>
        <v>283300.31020483177</v>
      </c>
      <c r="D153" s="129">
        <f t="shared" si="75"/>
        <v>187450.9553326751</v>
      </c>
      <c r="E153" s="129">
        <f t="shared" si="76"/>
        <v>13.895820021791897</v>
      </c>
      <c r="F153" s="134">
        <f t="shared" si="77"/>
        <v>3.2462030685260341</v>
      </c>
      <c r="G153" s="129">
        <f>EDisponible!V65</f>
        <v>262293.66361487116</v>
      </c>
      <c r="H153" s="129">
        <f t="shared" si="78"/>
        <v>165908.28492375344</v>
      </c>
      <c r="I153" s="129">
        <f t="shared" si="79"/>
        <v>13.97353040936426</v>
      </c>
      <c r="J153" s="134">
        <f t="shared" si="80"/>
        <v>3.2643178452521435</v>
      </c>
      <c r="K153" s="129">
        <f>EDisponible!AB65</f>
        <v>239302.2244322428</v>
      </c>
      <c r="L153" s="129">
        <f t="shared" si="81"/>
        <v>147345.1185846802</v>
      </c>
      <c r="M153" s="129">
        <f t="shared" si="82"/>
        <v>13.331538791126404</v>
      </c>
      <c r="N153" s="134">
        <f t="shared" si="83"/>
        <v>3.114646326801207</v>
      </c>
      <c r="O153" s="129">
        <f>EDisponible!AH65</f>
        <v>215361.26124199288</v>
      </c>
      <c r="P153" s="129">
        <f t="shared" si="84"/>
        <v>131672.50618577932</v>
      </c>
      <c r="Q153" s="129">
        <f t="shared" si="85"/>
        <v>12.132829476631027</v>
      </c>
      <c r="R153" s="134">
        <f t="shared" si="86"/>
        <v>2.8350713725856673</v>
      </c>
      <c r="S153" s="129">
        <f>EDisponible!AN65</f>
        <v>178929.10983342474</v>
      </c>
      <c r="T153" s="129">
        <f t="shared" si="87"/>
        <v>118842.76771544994</v>
      </c>
      <c r="U153" s="129">
        <f t="shared" si="88"/>
        <v>8.7110549356627622</v>
      </c>
      <c r="V153" s="134">
        <f t="shared" si="89"/>
        <v>2.0363123341766438</v>
      </c>
      <c r="W153" s="129">
        <f>EDisponible!AT65</f>
        <v>146200.82623778196</v>
      </c>
      <c r="X153" s="129">
        <f t="shared" si="90"/>
        <v>108861.05696536122</v>
      </c>
      <c r="Y153" s="129">
        <f t="shared" si="91"/>
        <v>5.4133563460792775</v>
      </c>
      <c r="Z153" s="134">
        <f t="shared" si="92"/>
        <v>1.2657633153282219</v>
      </c>
      <c r="AA153" s="129">
        <f>EDisponible!AZ65</f>
        <v>118512.71875321187</v>
      </c>
      <c r="AB153" s="129">
        <f t="shared" si="93"/>
        <v>101819.51780332744</v>
      </c>
      <c r="AC153" s="129">
        <f t="shared" si="94"/>
        <v>2.4201072223865681</v>
      </c>
      <c r="AD153" s="134">
        <f t="shared" si="95"/>
        <v>0.5659486535197642</v>
      </c>
      <c r="AE153" s="129">
        <f>EDisponible!BF65</f>
        <v>95245.091973762086</v>
      </c>
      <c r="AF153" s="129">
        <f t="shared" si="96"/>
        <v>99349.532724161661</v>
      </c>
      <c r="AG153" s="129">
        <f t="shared" si="97"/>
        <v>-0.5950438584978831</v>
      </c>
      <c r="AH153" s="134">
        <f t="shared" si="98"/>
        <v>-0.13915687624532017</v>
      </c>
    </row>
    <row r="154" spans="1:34">
      <c r="A154" s="125">
        <v>250</v>
      </c>
      <c r="B154" s="126"/>
      <c r="C154" s="129">
        <f>EDisponible!P66</f>
        <v>281227.84887947468</v>
      </c>
      <c r="D154" s="129">
        <f t="shared" si="75"/>
        <v>194085.84881911107</v>
      </c>
      <c r="E154" s="129">
        <f t="shared" si="76"/>
        <v>12.89129165871795</v>
      </c>
      <c r="F154" s="134">
        <f t="shared" si="77"/>
        <v>2.9518519788363902</v>
      </c>
      <c r="G154" s="129">
        <f>EDisponible!V66</f>
        <v>260804.86292112892</v>
      </c>
      <c r="H154" s="129">
        <f t="shared" si="78"/>
        <v>171482.47258132743</v>
      </c>
      <c r="I154" s="129">
        <f t="shared" si="79"/>
        <v>13.213846190431669</v>
      </c>
      <c r="J154" s="134">
        <f t="shared" si="80"/>
        <v>3.0255750593453143</v>
      </c>
      <c r="K154" s="129">
        <f>EDisponible!AB66</f>
        <v>238288.58786555473</v>
      </c>
      <c r="L154" s="129">
        <f t="shared" si="81"/>
        <v>151946.61723900685</v>
      </c>
      <c r="M154" s="129">
        <f t="shared" si="82"/>
        <v>12.772939856375412</v>
      </c>
      <c r="N154" s="134">
        <f t="shared" si="83"/>
        <v>2.9247990182789838</v>
      </c>
      <c r="O154" s="129">
        <f>EDisponible!AH66</f>
        <v>214728.19023571484</v>
      </c>
      <c r="P154" s="129">
        <f t="shared" si="84"/>
        <v>135376.95724663243</v>
      </c>
      <c r="Q154" s="129">
        <f t="shared" si="85"/>
        <v>11.738769906962752</v>
      </c>
      <c r="R154" s="134">
        <f t="shared" si="86"/>
        <v>2.6883533075674744</v>
      </c>
      <c r="S154" s="129">
        <f>EDisponible!AN66</f>
        <v>180309.65759659346</v>
      </c>
      <c r="T154" s="129">
        <f t="shared" si="87"/>
        <v>121712.5105058568</v>
      </c>
      <c r="U154" s="129">
        <f t="shared" si="88"/>
        <v>8.6685285280601612</v>
      </c>
      <c r="V154" s="134">
        <f t="shared" si="89"/>
        <v>1.9858847794148697</v>
      </c>
      <c r="W154" s="129">
        <f>EDisponible!AT66</f>
        <v>147390.39050176713</v>
      </c>
      <c r="X154" s="129">
        <f t="shared" si="90"/>
        <v>110958.99291045699</v>
      </c>
      <c r="Y154" s="129">
        <f t="shared" si="91"/>
        <v>5.3894536682537337</v>
      </c>
      <c r="Z154" s="134">
        <f t="shared" si="92"/>
        <v>1.234980505304146</v>
      </c>
      <c r="AA154" s="129">
        <f>EDisponible!AZ66</f>
        <v>119530.72931963032</v>
      </c>
      <c r="AB154" s="129">
        <f t="shared" si="93"/>
        <v>104755.01722259782</v>
      </c>
      <c r="AC154" s="129">
        <f t="shared" si="94"/>
        <v>2.1858347751503082</v>
      </c>
      <c r="AD154" s="134">
        <f t="shared" si="95"/>
        <v>0.50094366453348138</v>
      </c>
      <c r="AE154" s="129">
        <f>EDisponible!BF66</f>
        <v>96109.870552333101</v>
      </c>
      <c r="AF154" s="129">
        <f t="shared" si="96"/>
        <v>105649.92623374832</v>
      </c>
      <c r="AG154" s="129">
        <f t="shared" si="97"/>
        <v>-1.4113015554421702</v>
      </c>
      <c r="AH154" s="134">
        <f t="shared" si="98"/>
        <v>-0.32344305515168731</v>
      </c>
    </row>
    <row r="155" spans="1:34">
      <c r="A155" s="125">
        <v>255</v>
      </c>
      <c r="B155" s="126"/>
      <c r="C155" s="129">
        <f>EDisponible!P67</f>
        <v>279100.07190119667</v>
      </c>
      <c r="D155" s="129">
        <f t="shared" si="75"/>
        <v>200896.83337087926</v>
      </c>
      <c r="E155" s="129">
        <f t="shared" si="76"/>
        <v>11.800320981493577</v>
      </c>
      <c r="F155" s="134">
        <f t="shared" si="77"/>
        <v>2.6495160448750523</v>
      </c>
      <c r="G155" s="129">
        <f>EDisponible!V67</f>
        <v>259277.17382969995</v>
      </c>
      <c r="H155" s="129">
        <f t="shared" si="78"/>
        <v>177217.94999979431</v>
      </c>
      <c r="I155" s="129">
        <f t="shared" si="79"/>
        <v>12.382162157002211</v>
      </c>
      <c r="J155" s="134">
        <f t="shared" si="80"/>
        <v>2.7799562200196744</v>
      </c>
      <c r="K155" s="129">
        <f>EDisponible!AB67</f>
        <v>237249.2806086106</v>
      </c>
      <c r="L155" s="129">
        <f t="shared" si="81"/>
        <v>156697.72127501483</v>
      </c>
      <c r="M155" s="129">
        <f t="shared" si="82"/>
        <v>12.154666143752562</v>
      </c>
      <c r="N155" s="134">
        <f t="shared" si="83"/>
        <v>2.7289583415265173</v>
      </c>
      <c r="O155" s="129">
        <f>EDisponible!AH67</f>
        <v>214079.90882189752</v>
      </c>
      <c r="P155" s="129">
        <f t="shared" si="84"/>
        <v>139222.53087559686</v>
      </c>
      <c r="Q155" s="129">
        <f t="shared" si="85"/>
        <v>11.295454052799585</v>
      </c>
      <c r="R155" s="134">
        <f t="shared" si="86"/>
        <v>2.5363100325349603</v>
      </c>
      <c r="S155" s="129">
        <f>EDisponible!AN67</f>
        <v>181747.73869151494</v>
      </c>
      <c r="T155" s="129">
        <f t="shared" si="87"/>
        <v>124735.15463061597</v>
      </c>
      <c r="U155" s="129">
        <f t="shared" si="88"/>
        <v>8.6027996352373286</v>
      </c>
      <c r="V155" s="134">
        <f t="shared" si="89"/>
        <v>1.9322244674273943</v>
      </c>
      <c r="W155" s="129">
        <f>EDisponible!AT67</f>
        <v>148628.75616162177</v>
      </c>
      <c r="X155" s="129">
        <f t="shared" si="90"/>
        <v>114973.86754435996</v>
      </c>
      <c r="Y155" s="129">
        <f t="shared" si="91"/>
        <v>5.0782869832960102</v>
      </c>
      <c r="Z155" s="134">
        <f t="shared" si="92"/>
        <v>1.1408860973717914</v>
      </c>
      <c r="AA155" s="129">
        <f>EDisponible!AZ67</f>
        <v>120589.88113836778</v>
      </c>
      <c r="AB155" s="129">
        <f t="shared" si="93"/>
        <v>112691.78876266093</v>
      </c>
      <c r="AC155" s="129">
        <f t="shared" si="94"/>
        <v>1.191766823552924</v>
      </c>
      <c r="AD155" s="134">
        <f t="shared" si="95"/>
        <v>0.26777534118151058</v>
      </c>
      <c r="AE155" s="129">
        <f>EDisponible!BF67</f>
        <v>97009.103053489351</v>
      </c>
      <c r="AF155" s="129">
        <f t="shared" si="96"/>
        <v>118718.83290632468</v>
      </c>
      <c r="AG155" s="129">
        <f t="shared" si="97"/>
        <v>-3.2758461861608841</v>
      </c>
      <c r="AH155" s="134">
        <f t="shared" si="98"/>
        <v>-0.7360072030923428</v>
      </c>
    </row>
    <row r="156" spans="1:34">
      <c r="A156" s="125">
        <v>260</v>
      </c>
      <c r="B156" s="126"/>
      <c r="C156" s="129">
        <f>EDisponible!P68</f>
        <v>276911.71780007443</v>
      </c>
      <c r="D156" s="129">
        <f t="shared" si="75"/>
        <v>207881.53045350013</v>
      </c>
      <c r="E156" s="129">
        <f t="shared" si="76"/>
        <v>10.620410466057351</v>
      </c>
      <c r="F156" s="134">
        <f t="shared" si="77"/>
        <v>2.3391022970401951</v>
      </c>
      <c r="G156" s="129">
        <f>EDisponible!V68</f>
        <v>257706.10278705705</v>
      </c>
      <c r="H156" s="129">
        <f t="shared" si="78"/>
        <v>183111.96381180314</v>
      </c>
      <c r="I156" s="129">
        <f t="shared" si="79"/>
        <v>11.476433785437754</v>
      </c>
      <c r="J156" s="134">
        <f t="shared" si="80"/>
        <v>2.5274025823886093</v>
      </c>
      <c r="K156" s="129">
        <f>EDisponible!AB68</f>
        <v>236180.49308482822</v>
      </c>
      <c r="L156" s="129">
        <f t="shared" si="81"/>
        <v>161595.22676865594</v>
      </c>
      <c r="M156" s="129">
        <f t="shared" si="82"/>
        <v>11.475068711909863</v>
      </c>
      <c r="N156" s="134">
        <f t="shared" si="83"/>
        <v>2.5271023482349024</v>
      </c>
      <c r="O156" s="129">
        <f>EDisponible!AH68</f>
        <v>213413.21323244835</v>
      </c>
      <c r="P156" s="129">
        <f t="shared" si="84"/>
        <v>143229.55248298234</v>
      </c>
      <c r="Q156" s="129">
        <f t="shared" si="85"/>
        <v>10.797874289802831</v>
      </c>
      <c r="R156" s="134">
        <f t="shared" si="86"/>
        <v>2.3781434766617222</v>
      </c>
      <c r="S156" s="129">
        <f>EDisponible!AN68</f>
        <v>183243.64325921735</v>
      </c>
      <c r="T156" s="129">
        <f t="shared" si="87"/>
        <v>129956.41532552737</v>
      </c>
      <c r="U156" s="129">
        <f t="shared" si="88"/>
        <v>8.1983296729706705</v>
      </c>
      <c r="V156" s="134">
        <f t="shared" si="89"/>
        <v>1.8060542417064447</v>
      </c>
      <c r="W156" s="129">
        <f>EDisponible!AT68</f>
        <v>149916.20108192565</v>
      </c>
      <c r="X156" s="129">
        <f t="shared" si="90"/>
        <v>124749.17993749455</v>
      </c>
      <c r="Y156" s="129">
        <f t="shared" si="91"/>
        <v>3.871988546400301</v>
      </c>
      <c r="Z156" s="134">
        <f t="shared" si="92"/>
        <v>0.85320078354567996</v>
      </c>
      <c r="AA156" s="129">
        <f>EDisponible!AZ68</f>
        <v>121690.43646174285</v>
      </c>
      <c r="AB156" s="129">
        <f t="shared" si="93"/>
        <v>128456.9551954106</v>
      </c>
      <c r="AC156" s="129">
        <f t="shared" si="94"/>
        <v>-1.041040291793216</v>
      </c>
      <c r="AD156" s="134">
        <f t="shared" si="95"/>
        <v>-0.22941113950258168</v>
      </c>
      <c r="AE156" s="129">
        <f>EDisponible!BF68</f>
        <v>97943.033631259706</v>
      </c>
      <c r="AF156" s="129">
        <f t="shared" si="96"/>
        <v>140927.90451462302</v>
      </c>
      <c r="AG156" s="129">
        <f t="shared" si="97"/>
        <v>-6.6132947071372934</v>
      </c>
      <c r="AH156" s="134">
        <f t="shared" si="98"/>
        <v>-1.4570468879756968</v>
      </c>
    </row>
    <row r="157" spans="1:34">
      <c r="A157" s="125">
        <v>265</v>
      </c>
      <c r="B157" s="126"/>
      <c r="C157" s="129">
        <f>EDisponible!P69</f>
        <v>274657.37993899314</v>
      </c>
      <c r="D157" s="129">
        <f t="shared" si="75"/>
        <v>215037.78378468633</v>
      </c>
      <c r="E157" s="129">
        <f t="shared" si="76"/>
        <v>9.3489708543735457</v>
      </c>
      <c r="F157" s="134">
        <f t="shared" si="77"/>
        <v>2.0205075826105938</v>
      </c>
      <c r="G157" s="129">
        <f>EDisponible!V69</f>
        <v>256087.03126003058</v>
      </c>
      <c r="H157" s="129">
        <f t="shared" si="78"/>
        <v>189162.01792688289</v>
      </c>
      <c r="I157" s="129">
        <f t="shared" si="79"/>
        <v>10.494536015654656</v>
      </c>
      <c r="J157" s="134">
        <f t="shared" si="80"/>
        <v>2.2678436879877593</v>
      </c>
      <c r="K157" s="129">
        <f>EDisponible!AB69</f>
        <v>235078.30862631954</v>
      </c>
      <c r="L157" s="129">
        <f t="shared" si="81"/>
        <v>166677.65462362912</v>
      </c>
      <c r="M157" s="129">
        <f t="shared" si="82"/>
        <v>10.725931773106238</v>
      </c>
      <c r="N157" s="134">
        <f t="shared" si="83"/>
        <v>2.3177938000690759</v>
      </c>
      <c r="O157" s="129">
        <f>EDisponible!AH69</f>
        <v>212724.80839919843</v>
      </c>
      <c r="P157" s="129">
        <f t="shared" si="84"/>
        <v>149849.22860560231</v>
      </c>
      <c r="Q157" s="129">
        <f t="shared" si="85"/>
        <v>9.8595428493137334</v>
      </c>
      <c r="R157" s="134">
        <f t="shared" si="86"/>
        <v>2.1307537589871099</v>
      </c>
      <c r="S157" s="129">
        <f>EDisponible!AN69</f>
        <v>184797.69348021675</v>
      </c>
      <c r="T157" s="129">
        <f t="shared" si="87"/>
        <v>141865.57885021158</v>
      </c>
      <c r="U157" s="129">
        <f t="shared" si="88"/>
        <v>6.7322007239652892</v>
      </c>
      <c r="V157" s="134">
        <f t="shared" si="89"/>
        <v>1.4552593925613637</v>
      </c>
      <c r="W157" s="129">
        <f>EDisponible!AT69</f>
        <v>151253.03016436525</v>
      </c>
      <c r="X157" s="129">
        <f t="shared" si="90"/>
        <v>143602.87686779007</v>
      </c>
      <c r="Y157" s="129">
        <f t="shared" si="91"/>
        <v>1.1996233590053349</v>
      </c>
      <c r="Z157" s="134">
        <f t="shared" si="92"/>
        <v>0.25936938102867879</v>
      </c>
      <c r="AA157" s="129">
        <f>EDisponible!AZ69</f>
        <v>122832.68020263124</v>
      </c>
      <c r="AB157" s="129">
        <f t="shared" si="93"/>
        <v>154837.90036470239</v>
      </c>
      <c r="AC157" s="129">
        <f t="shared" si="94"/>
        <v>-5.0187503737627548</v>
      </c>
      <c r="AD157" s="134">
        <f t="shared" si="95"/>
        <v>-1.0849767660062617</v>
      </c>
      <c r="AE157" s="129">
        <f>EDisponible!BF69</f>
        <v>98911.925289896302</v>
      </c>
      <c r="AF157" s="129">
        <f t="shared" si="96"/>
        <v>174735.19162616724</v>
      </c>
      <c r="AG157" s="129">
        <f t="shared" si="97"/>
        <v>-11.889874349811281</v>
      </c>
      <c r="AH157" s="134">
        <f t="shared" si="98"/>
        <v>-2.5689925990540345</v>
      </c>
    </row>
    <row r="158" spans="1:34">
      <c r="A158" s="125">
        <v>270</v>
      </c>
      <c r="B158" s="126"/>
      <c r="C158" s="129">
        <f>EDisponible!P70</f>
        <v>272331.49854289211</v>
      </c>
      <c r="D158" s="129">
        <f t="shared" si="75"/>
        <v>222363.63487129976</v>
      </c>
      <c r="E158" s="129">
        <f t="shared" si="76"/>
        <v>7.9833183539961965</v>
      </c>
      <c r="F158" s="134">
        <f t="shared" si="77"/>
        <v>1.6936193329621996</v>
      </c>
      <c r="G158" s="129">
        <f>EDisponible!V70</f>
        <v>254415.20860573874</v>
      </c>
      <c r="H158" s="129">
        <f t="shared" si="78"/>
        <v>195444.94541506071</v>
      </c>
      <c r="I158" s="129">
        <f t="shared" si="79"/>
        <v>9.4216232169591922</v>
      </c>
      <c r="J158" s="134">
        <f t="shared" si="80"/>
        <v>1.9985196372512826</v>
      </c>
      <c r="K158" s="129">
        <f>EDisponible!AB70</f>
        <v>233938.69712150196</v>
      </c>
      <c r="L158" s="129">
        <f t="shared" si="81"/>
        <v>174961.56409791432</v>
      </c>
      <c r="M158" s="129">
        <f t="shared" si="82"/>
        <v>9.4227208036704546</v>
      </c>
      <c r="N158" s="134">
        <f t="shared" si="83"/>
        <v>1.9987522690872648</v>
      </c>
      <c r="O158" s="129">
        <f>EDisponible!AH70</f>
        <v>212011.30231877591</v>
      </c>
      <c r="P158" s="129">
        <f t="shared" si="84"/>
        <v>164289.34088515912</v>
      </c>
      <c r="Q158" s="129">
        <f t="shared" si="85"/>
        <v>7.6244926760454135</v>
      </c>
      <c r="R158" s="134">
        <f t="shared" si="86"/>
        <v>1.6175377291825488</v>
      </c>
      <c r="S158" s="129">
        <f>EDisponible!AN70</f>
        <v>186410.24235112834</v>
      </c>
      <c r="T158" s="129">
        <f t="shared" si="87"/>
        <v>164326.12085089379</v>
      </c>
      <c r="U158" s="129">
        <f t="shared" si="88"/>
        <v>3.52835922030697</v>
      </c>
      <c r="V158" s="134">
        <f t="shared" si="89"/>
        <v>0.74869846411336527</v>
      </c>
      <c r="W158" s="129">
        <f>EDisponible!AT70</f>
        <v>152639.57432077656</v>
      </c>
      <c r="X158" s="129">
        <f t="shared" si="90"/>
        <v>174790.14286779275</v>
      </c>
      <c r="Y158" s="129">
        <f t="shared" si="91"/>
        <v>-3.5389754021719195</v>
      </c>
      <c r="Z158" s="134">
        <f t="shared" si="92"/>
        <v>-0.75095090206104043</v>
      </c>
      <c r="AA158" s="129">
        <f>EDisponible!AZ70</f>
        <v>124016.91907644203</v>
      </c>
      <c r="AB158" s="129">
        <f t="shared" si="93"/>
        <v>194713.39942094966</v>
      </c>
      <c r="AC158" s="129">
        <f t="shared" si="94"/>
        <v>-11.295109849135027</v>
      </c>
      <c r="AD158" s="134">
        <f t="shared" si="95"/>
        <v>-2.3954999808814255</v>
      </c>
      <c r="AE158" s="129">
        <f>EDisponible!BF70</f>
        <v>99916.059170334993</v>
      </c>
      <c r="AF158" s="129">
        <f t="shared" si="96"/>
        <v>222726.17625466819</v>
      </c>
      <c r="AG158" s="129">
        <f t="shared" si="97"/>
        <v>-19.621256338264725</v>
      </c>
      <c r="AH158" s="134">
        <f t="shared" si="98"/>
        <v>-4.1564532800236949</v>
      </c>
    </row>
    <row r="159" spans="1:34">
      <c r="A159" s="125">
        <v>275</v>
      </c>
      <c r="B159" s="126"/>
      <c r="C159" s="129">
        <f>EDisponible!P71</f>
        <v>269928.35268500034</v>
      </c>
      <c r="D159" s="129">
        <f t="shared" si="75"/>
        <v>230013.99689020921</v>
      </c>
      <c r="E159" s="129">
        <f t="shared" si="76"/>
        <v>6.4951729558705154</v>
      </c>
      <c r="F159" s="134">
        <f t="shared" si="77"/>
        <v>1.3530066196510742</v>
      </c>
      <c r="G159" s="129">
        <f>EDisponible!V71</f>
        <v>252685.74489656027</v>
      </c>
      <c r="H159" s="129">
        <f t="shared" si="78"/>
        <v>205746.80400882254</v>
      </c>
      <c r="I159" s="129">
        <f t="shared" si="79"/>
        <v>7.6382678201968019</v>
      </c>
      <c r="J159" s="134">
        <f t="shared" si="80"/>
        <v>1.5910109723546655</v>
      </c>
      <c r="K159" s="129">
        <f>EDisponible!AB71</f>
        <v>232757.50861677658</v>
      </c>
      <c r="L159" s="129">
        <f t="shared" si="81"/>
        <v>192445.6134657152</v>
      </c>
      <c r="M159" s="129">
        <f t="shared" si="82"/>
        <v>6.5598636373139492</v>
      </c>
      <c r="N159" s="134">
        <f t="shared" si="83"/>
        <v>1.3664772228091686</v>
      </c>
      <c r="O159" s="129">
        <f>EDisponible!AH71</f>
        <v>211269.20037138966</v>
      </c>
      <c r="P159" s="129">
        <f t="shared" si="84"/>
        <v>191015.314093339</v>
      </c>
      <c r="Q159" s="129">
        <f t="shared" si="85"/>
        <v>3.2958691624841241</v>
      </c>
      <c r="R159" s="134">
        <f t="shared" si="86"/>
        <v>0.68665582547110848</v>
      </c>
      <c r="S159" s="129">
        <f>EDisponible!AN71</f>
        <v>188081.67253590858</v>
      </c>
      <c r="T159" s="129">
        <f t="shared" si="87"/>
        <v>201117.04917873433</v>
      </c>
      <c r="U159" s="129">
        <f t="shared" si="88"/>
        <v>-2.1212173954494125</v>
      </c>
      <c r="V159" s="134">
        <f t="shared" si="89"/>
        <v>-0.44194325040598886</v>
      </c>
      <c r="W159" s="129">
        <f>EDisponible!AT71</f>
        <v>154076.18950659374</v>
      </c>
      <c r="X159" s="129">
        <f t="shared" si="90"/>
        <v>221663.24745798111</v>
      </c>
      <c r="Y159" s="129">
        <f t="shared" si="91"/>
        <v>-10.99828926789276</v>
      </c>
      <c r="Z159" s="134">
        <f t="shared" si="92"/>
        <v>-2.2902541838163821</v>
      </c>
      <c r="AA159" s="129">
        <f>EDisponible!AZ71</f>
        <v>125243.48079138687</v>
      </c>
      <c r="AB159" s="129">
        <f t="shared" si="93"/>
        <v>251104.11488499559</v>
      </c>
      <c r="AC159" s="129">
        <f t="shared" si="94"/>
        <v>-20.48101667922209</v>
      </c>
      <c r="AD159" s="134">
        <f t="shared" si="95"/>
        <v>-4.2593212867678778</v>
      </c>
      <c r="AE159" s="129">
        <f>EDisponible!BF71</f>
        <v>100955.73387471512</v>
      </c>
      <c r="AF159" s="129">
        <f t="shared" si="96"/>
        <v>287635.94892578217</v>
      </c>
      <c r="AG159" s="129">
        <f t="shared" si="97"/>
        <v>-30.378049702959704</v>
      </c>
      <c r="AH159" s="134">
        <f t="shared" si="98"/>
        <v>-6.3036571345610541</v>
      </c>
    </row>
    <row r="160" spans="1:34">
      <c r="A160" s="125">
        <v>280</v>
      </c>
      <c r="B160" s="126"/>
      <c r="C160" s="129">
        <f>EDisponible!P72</f>
        <v>267442.05221162044</v>
      </c>
      <c r="D160" s="129">
        <f t="shared" si="75"/>
        <v>242794.67277266658</v>
      </c>
      <c r="E160" s="129">
        <f t="shared" si="76"/>
        <v>4.0837362415438037</v>
      </c>
      <c r="F160" s="134">
        <f t="shared" si="77"/>
        <v>0.83558665337311044</v>
      </c>
      <c r="G160" s="129">
        <f>EDisponible!V72</f>
        <v>250893.60368409174</v>
      </c>
      <c r="H160" s="129">
        <f t="shared" si="78"/>
        <v>226923.01781237047</v>
      </c>
      <c r="I160" s="129">
        <f t="shared" si="79"/>
        <v>3.9716007333695225</v>
      </c>
      <c r="J160" s="134">
        <f t="shared" si="80"/>
        <v>0.81264536002794696</v>
      </c>
      <c r="K160" s="129">
        <f>EDisponible!AB72</f>
        <v>231530.46685831877</v>
      </c>
      <c r="L160" s="129">
        <f t="shared" si="81"/>
        <v>224255.72639004173</v>
      </c>
      <c r="M160" s="129">
        <f t="shared" si="82"/>
        <v>1.2053257577223897</v>
      </c>
      <c r="N160" s="134">
        <f t="shared" si="83"/>
        <v>0.24664161529454662</v>
      </c>
      <c r="O160" s="129">
        <f>EDisponible!AH72</f>
        <v>210494.89958143531</v>
      </c>
      <c r="P160" s="129">
        <f t="shared" si="84"/>
        <v>234390.02874860974</v>
      </c>
      <c r="Q160" s="129">
        <f t="shared" si="85"/>
        <v>-3.9590985815773365</v>
      </c>
      <c r="R160" s="134">
        <f t="shared" si="86"/>
        <v>-0.81008758540255632</v>
      </c>
      <c r="S160" s="129">
        <f>EDisponible!AN72</f>
        <v>188722.16304514927</v>
      </c>
      <c r="T160" s="129">
        <f t="shared" si="87"/>
        <v>256121.43787407561</v>
      </c>
      <c r="U160" s="129">
        <f t="shared" si="88"/>
        <v>-11.167145049004853</v>
      </c>
      <c r="V160" s="134">
        <f t="shared" si="89"/>
        <v>-2.2838977150738944</v>
      </c>
      <c r="W160" s="129">
        <f>EDisponible!AT72</f>
        <v>155563.25580790994</v>
      </c>
      <c r="X160" s="129">
        <f t="shared" si="90"/>
        <v>287732.26020553039</v>
      </c>
      <c r="Y160" s="129">
        <f t="shared" si="91"/>
        <v>-21.898610138418601</v>
      </c>
      <c r="Z160" s="134">
        <f t="shared" si="92"/>
        <v>-4.4719610112722021</v>
      </c>
      <c r="AA160" s="129">
        <f>EDisponible!AZ72</f>
        <v>126512.71328144173</v>
      </c>
      <c r="AB160" s="129">
        <f t="shared" si="93"/>
        <v>327199.53835273965</v>
      </c>
      <c r="AC160" s="129">
        <f t="shared" si="94"/>
        <v>-33.251083052211349</v>
      </c>
      <c r="AD160" s="134">
        <f t="shared" si="95"/>
        <v>-6.7723785068216609</v>
      </c>
      <c r="AE160" s="129">
        <f>EDisponible!BF72</f>
        <v>102031.26482436834</v>
      </c>
      <c r="AF160" s="129">
        <f t="shared" si="96"/>
        <v>372363.44869625563</v>
      </c>
      <c r="AG160" s="129">
        <f t="shared" si="97"/>
        <v>-44.79037372989648</v>
      </c>
      <c r="AH160" s="134">
        <f t="shared" si="98"/>
        <v>-9.0883562764351993</v>
      </c>
    </row>
    <row r="161" spans="1:34">
      <c r="A161" s="125">
        <v>285</v>
      </c>
      <c r="B161" s="126"/>
      <c r="C161" s="129">
        <f>EDisponible!P73</f>
        <v>264866.52958861901</v>
      </c>
      <c r="D161" s="129">
        <f t="shared" si="75"/>
        <v>268471.14137204271</v>
      </c>
      <c r="E161" s="129">
        <f t="shared" si="76"/>
        <v>-0.60790016334477681</v>
      </c>
      <c r="F161" s="134">
        <f t="shared" si="77"/>
        <v>-0.12221074001365619</v>
      </c>
      <c r="G161" s="129">
        <f>EDisponible!V73</f>
        <v>249033.59468736945</v>
      </c>
      <c r="H161" s="129">
        <f t="shared" si="78"/>
        <v>264821.41417370149</v>
      </c>
      <c r="I161" s="129">
        <f t="shared" si="79"/>
        <v>-2.6625386092156025</v>
      </c>
      <c r="J161" s="134">
        <f t="shared" si="80"/>
        <v>-0.5352553937102017</v>
      </c>
      <c r="K161" s="129">
        <f>EDisponible!AB73</f>
        <v>230253.16276115685</v>
      </c>
      <c r="L161" s="129">
        <f t="shared" si="81"/>
        <v>275402.89557545428</v>
      </c>
      <c r="M161" s="129">
        <f t="shared" si="82"/>
        <v>-7.6142818150351443</v>
      </c>
      <c r="N161" s="134">
        <f t="shared" si="83"/>
        <v>-1.5303945830995547</v>
      </c>
      <c r="O161" s="129">
        <f>EDisponible!AH73</f>
        <v>209684.68280877228</v>
      </c>
      <c r="P161" s="129">
        <f t="shared" si="84"/>
        <v>298889.36829691136</v>
      </c>
      <c r="Q161" s="129">
        <f t="shared" si="85"/>
        <v>-15.0439343090238</v>
      </c>
      <c r="R161" s="134">
        <f t="shared" si="86"/>
        <v>-3.0215954916281378</v>
      </c>
      <c r="S161" s="129">
        <f>EDisponible!AN73</f>
        <v>188279.2078179649</v>
      </c>
      <c r="T161" s="129">
        <f t="shared" si="87"/>
        <v>333397.8299547697</v>
      </c>
      <c r="U161" s="129">
        <f t="shared" si="88"/>
        <v>-24.473546501460593</v>
      </c>
      <c r="V161" s="134">
        <f t="shared" si="89"/>
        <v>-4.9080680796689231</v>
      </c>
      <c r="W161" s="129">
        <f>EDisponible!AT73</f>
        <v>157101.17657606371</v>
      </c>
      <c r="X161" s="129">
        <f t="shared" si="90"/>
        <v>376697.18740901101</v>
      </c>
      <c r="Y161" s="129">
        <f t="shared" si="91"/>
        <v>-37.033794171426038</v>
      </c>
      <c r="Z161" s="134">
        <f t="shared" si="92"/>
        <v>-7.4037082656040702</v>
      </c>
      <c r="AA161" s="129">
        <f>EDisponible!AZ73</f>
        <v>127824.98397697367</v>
      </c>
      <c r="AB161" s="129">
        <f t="shared" si="93"/>
        <v>426375.10916366323</v>
      </c>
      <c r="AC161" s="129">
        <f t="shared" si="94"/>
        <v>-50.349019748033029</v>
      </c>
      <c r="AD161" s="134">
        <f t="shared" si="95"/>
        <v>-10.018683503022119</v>
      </c>
      <c r="AE161" s="129">
        <f>EDisponible!BF73</f>
        <v>103142.98364715031</v>
      </c>
      <c r="AF161" s="129">
        <f t="shared" si="96"/>
        <v>479981.73272571451</v>
      </c>
      <c r="AG161" s="129">
        <f t="shared" si="97"/>
        <v>-63.552013610164117</v>
      </c>
      <c r="AH161" s="134">
        <f t="shared" si="98"/>
        <v>-12.5706950549214</v>
      </c>
    </row>
    <row r="162" spans="1:34">
      <c r="A162" s="125">
        <v>290</v>
      </c>
      <c r="B162" s="126"/>
      <c r="C162" s="129">
        <f>EDisponible!P74</f>
        <v>262195.53165415145</v>
      </c>
      <c r="D162" s="129">
        <f t="shared" si="75"/>
        <v>313678.25819545763</v>
      </c>
      <c r="E162" s="129">
        <f t="shared" si="76"/>
        <v>-8.8346314935795256</v>
      </c>
      <c r="F162" s="134">
        <f t="shared" si="77"/>
        <v>-1.7449330788556943</v>
      </c>
      <c r="G162" s="129">
        <f>EDisponible!V74</f>
        <v>247100.3663917993</v>
      </c>
      <c r="H162" s="129">
        <f t="shared" si="78"/>
        <v>325169.77810637222</v>
      </c>
      <c r="I162" s="129">
        <f t="shared" si="79"/>
        <v>-13.397007690830304</v>
      </c>
      <c r="J162" s="134">
        <f t="shared" si="80"/>
        <v>-2.6449884533113042</v>
      </c>
      <c r="K162" s="129">
        <f>EDisponible!AB74</f>
        <v>228921.04779367952</v>
      </c>
      <c r="L162" s="129">
        <f t="shared" si="81"/>
        <v>351022.71130579273</v>
      </c>
      <c r="M162" s="129">
        <f t="shared" si="82"/>
        <v>-20.953109408785341</v>
      </c>
      <c r="N162" s="134">
        <f t="shared" si="83"/>
        <v>-4.1325592976651366</v>
      </c>
      <c r="O162" s="129">
        <f>EDisponible!AH74</f>
        <v>208834.71286032625</v>
      </c>
      <c r="P162" s="129">
        <f t="shared" si="84"/>
        <v>389184.45719314914</v>
      </c>
      <c r="Q162" s="129">
        <f t="shared" si="85"/>
        <v>-30.948701403050205</v>
      </c>
      <c r="R162" s="134">
        <f t="shared" si="86"/>
        <v>-6.0915302747074529</v>
      </c>
      <c r="S162" s="129">
        <f>EDisponible!AN74</f>
        <v>187808.65781557065</v>
      </c>
      <c r="T162" s="129">
        <f t="shared" si="87"/>
        <v>437217.91054685466</v>
      </c>
      <c r="U162" s="129">
        <f t="shared" si="88"/>
        <v>-42.799575449875405</v>
      </c>
      <c r="V162" s="134">
        <f t="shared" si="89"/>
        <v>-8.3953789811103547</v>
      </c>
      <c r="W162" s="129">
        <f>EDisponible!AT74</f>
        <v>158690.37760427091</v>
      </c>
      <c r="X162" s="129">
        <f t="shared" si="90"/>
        <v>492468.24484562012</v>
      </c>
      <c r="Y162" s="129">
        <f t="shared" si="91"/>
        <v>-57.277550275514493</v>
      </c>
      <c r="Z162" s="134">
        <f t="shared" si="92"/>
        <v>-11.172621197573381</v>
      </c>
      <c r="AA162" s="129">
        <f>EDisponible!AZ74</f>
        <v>129180.67910849898</v>
      </c>
      <c r="AB162" s="129">
        <f t="shared" si="93"/>
        <v>552204.44444239407</v>
      </c>
      <c r="AC162" s="129">
        <f t="shared" si="94"/>
        <v>-72.592485496138323</v>
      </c>
      <c r="AD162" s="134">
        <f t="shared" si="95"/>
        <v>-14.053439835738683</v>
      </c>
      <c r="AE162" s="129">
        <f>EDisponible!BF74</f>
        <v>104291.23759038826</v>
      </c>
      <c r="AF162" s="129">
        <f t="shared" si="96"/>
        <v>613746.02706002409</v>
      </c>
      <c r="AG162" s="129">
        <f t="shared" si="97"/>
        <v>-87.424377650088218</v>
      </c>
      <c r="AH162" s="134">
        <f t="shared" si="98"/>
        <v>-16.77613523186319</v>
      </c>
    </row>
    <row r="163" spans="1:34">
      <c r="A163" s="125">
        <v>295</v>
      </c>
      <c r="B163" s="126"/>
      <c r="C163" s="129">
        <f>EDisponible!P75</f>
        <v>259422.61126333397</v>
      </c>
      <c r="D163" s="129">
        <f t="shared" si="75"/>
        <v>384934.04769393831</v>
      </c>
      <c r="E163" s="129">
        <f t="shared" si="76"/>
        <v>-21.909588352857366</v>
      </c>
      <c r="F163" s="134">
        <f t="shared" si="77"/>
        <v>-4.2475471997250276</v>
      </c>
      <c r="G163" s="129">
        <f>EDisponible!V75</f>
        <v>245088.39854622984</v>
      </c>
      <c r="H163" s="129">
        <f t="shared" si="78"/>
        <v>413835.43662783504</v>
      </c>
      <c r="I163" s="129">
        <f t="shared" si="79"/>
        <v>-29.456902456662558</v>
      </c>
      <c r="J163" s="134">
        <f t="shared" si="80"/>
        <v>-5.7023053608872027</v>
      </c>
      <c r="K163" s="129">
        <f>EDisponible!AB75</f>
        <v>227529.42726655334</v>
      </c>
      <c r="L163" s="129">
        <f t="shared" si="81"/>
        <v>456468.25973626063</v>
      </c>
      <c r="M163" s="129">
        <f t="shared" si="82"/>
        <v>-39.964131716143648</v>
      </c>
      <c r="N163" s="134">
        <f t="shared" si="83"/>
        <v>-7.7149850137795273</v>
      </c>
      <c r="O163" s="129">
        <f>EDisponible!AH75</f>
        <v>207941.02651237269</v>
      </c>
      <c r="P163" s="129">
        <f t="shared" si="84"/>
        <v>510185.10615821497</v>
      </c>
      <c r="Q163" s="129">
        <f t="shared" si="85"/>
        <v>-52.760477893104103</v>
      </c>
      <c r="R163" s="134">
        <f t="shared" si="86"/>
        <v>-10.140087433865807</v>
      </c>
      <c r="S163" s="129">
        <f>EDisponible!AN75</f>
        <v>187307.19423498659</v>
      </c>
      <c r="T163" s="129">
        <f t="shared" si="87"/>
        <v>572090.17564455187</v>
      </c>
      <c r="U163" s="129">
        <f t="shared" si="88"/>
        <v>-67.168673768863755</v>
      </c>
      <c r="V163" s="134">
        <f t="shared" si="89"/>
        <v>-12.827020572748827</v>
      </c>
      <c r="W163" s="129">
        <f>EDisponible!AT75</f>
        <v>160331.30634135997</v>
      </c>
      <c r="X163" s="129">
        <f t="shared" si="90"/>
        <v>639180.24022867496</v>
      </c>
      <c r="Y163" s="129">
        <f t="shared" si="91"/>
        <v>-83.58906027241909</v>
      </c>
      <c r="Z163" s="134">
        <f t="shared" si="92"/>
        <v>-15.82022358778601</v>
      </c>
      <c r="AA163" s="129">
        <f>EDisponible!AZ75</f>
        <v>130580.20303947473</v>
      </c>
      <c r="AB163" s="129">
        <f t="shared" si="93"/>
        <v>708468.84637986729</v>
      </c>
      <c r="AC163" s="129">
        <f t="shared" si="94"/>
        <v>-100.87767815787592</v>
      </c>
      <c r="AD163" s="134">
        <f t="shared" si="95"/>
        <v>-18.878545357783345</v>
      </c>
      <c r="AE163" s="129">
        <f>EDisponible!BF75</f>
        <v>105476.3889560674</v>
      </c>
      <c r="AF163" s="129">
        <f t="shared" si="96"/>
        <v>777100.43519388989</v>
      </c>
      <c r="AG163" s="129">
        <f t="shared" si="97"/>
        <v>-117.24036310497574</v>
      </c>
      <c r="AH163" s="134">
        <f t="shared" si="98"/>
        <v>-21.6741079152936</v>
      </c>
    </row>
    <row r="164" spans="1:34">
      <c r="A164" s="125">
        <v>300</v>
      </c>
      <c r="B164" s="126"/>
      <c r="C164" s="129">
        <f>EDisponible!P76</f>
        <v>256541.1188115995</v>
      </c>
      <c r="D164" s="129">
        <f t="shared" si="75"/>
        <v>488915.0156112616</v>
      </c>
      <c r="E164" s="129">
        <f t="shared" si="76"/>
        <v>-41.251286526940476</v>
      </c>
      <c r="F164" s="134">
        <f t="shared" si="77"/>
        <v>-7.8293176592371685</v>
      </c>
      <c r="G164" s="129">
        <f>EDisponible!V76</f>
        <v>242991.99454647326</v>
      </c>
      <c r="H164" s="129">
        <f t="shared" si="78"/>
        <v>536928.34807118343</v>
      </c>
      <c r="I164" s="129">
        <f t="shared" si="79"/>
        <v>-52.179926002555725</v>
      </c>
      <c r="J164" s="134">
        <f t="shared" si="80"/>
        <v>-9.8669216156853388</v>
      </c>
      <c r="K164" s="129">
        <f>EDisponible!AB76</f>
        <v>226073.45351574896</v>
      </c>
      <c r="L164" s="129">
        <f t="shared" si="81"/>
        <v>597359.4616399348</v>
      </c>
      <c r="M164" s="129">
        <f t="shared" si="82"/>
        <v>-65.911127349124058</v>
      </c>
      <c r="N164" s="134">
        <f t="shared" si="83"/>
        <v>-12.391227683457908</v>
      </c>
      <c r="O164" s="129">
        <f>EDisponible!AH76</f>
        <v>206999.5284344517</v>
      </c>
      <c r="P164" s="129">
        <f t="shared" si="84"/>
        <v>667067.07634164288</v>
      </c>
      <c r="Q164" s="129">
        <f t="shared" si="85"/>
        <v>-81.671730352864913</v>
      </c>
      <c r="R164" s="134">
        <f t="shared" si="86"/>
        <v>-15.229081705132646</v>
      </c>
      <c r="S164" s="129">
        <f>EDisponible!AN76</f>
        <v>186771.38472992275</v>
      </c>
      <c r="T164" s="129">
        <f t="shared" si="87"/>
        <v>742776.64540874865</v>
      </c>
      <c r="U164" s="129">
        <f t="shared" si="88"/>
        <v>-98.702705573347487</v>
      </c>
      <c r="V164" s="134">
        <f t="shared" si="89"/>
        <v>-18.211671809364844</v>
      </c>
      <c r="W164" s="129">
        <f>EDisponible!AT76</f>
        <v>162024.43113812877</v>
      </c>
      <c r="X164" s="129">
        <f t="shared" si="90"/>
        <v>821203.67990960588</v>
      </c>
      <c r="Y164" s="129">
        <f t="shared" si="91"/>
        <v>-117.01827287050567</v>
      </c>
      <c r="Z164" s="134">
        <f t="shared" si="92"/>
        <v>-21.308812685826855</v>
      </c>
      <c r="AA164" s="129">
        <f>EDisponible!AZ76</f>
        <v>132023.97762440742</v>
      </c>
      <c r="AB164" s="129">
        <f t="shared" si="93"/>
        <v>899165.16648752033</v>
      </c>
      <c r="AC164" s="129">
        <f t="shared" si="94"/>
        <v>-136.1838030185155</v>
      </c>
      <c r="AD164" s="134">
        <f t="shared" si="95"/>
        <v>-24.415483817092706</v>
      </c>
      <c r="AE164" s="129">
        <f>EDisponible!BF76</f>
        <v>106698.81455518684</v>
      </c>
      <c r="AF164" s="129">
        <f t="shared" si="96"/>
        <v>973683.78372913855</v>
      </c>
      <c r="AG164" s="129">
        <f t="shared" si="97"/>
        <v>-153.90818792688657</v>
      </c>
      <c r="AH164" s="134">
        <f t="shared" si="98"/>
        <v>-27.159061574098857</v>
      </c>
    </row>
    <row r="165" spans="1:34">
      <c r="A165" s="125">
        <v>305</v>
      </c>
      <c r="B165" s="126"/>
      <c r="C165" s="129">
        <f>EDisponible!P77</f>
        <v>253544.19362435659</v>
      </c>
      <c r="D165" s="129">
        <f t="shared" si="75"/>
        <v>632568.71699294914</v>
      </c>
      <c r="E165" s="129">
        <f t="shared" si="76"/>
        <v>-68.406292273106786</v>
      </c>
      <c r="F165" s="134">
        <f t="shared" si="77"/>
        <v>-12.641271870424781</v>
      </c>
      <c r="G165" s="129">
        <f>EDisponible!V77</f>
        <v>240805.27369431366</v>
      </c>
      <c r="H165" s="129">
        <f t="shared" si="78"/>
        <v>700856.34131490183</v>
      </c>
      <c r="I165" s="129">
        <f t="shared" si="79"/>
        <v>-83.029951498954986</v>
      </c>
      <c r="J165" s="134">
        <f t="shared" si="80"/>
        <v>-15.22856150921592</v>
      </c>
      <c r="K165" s="129">
        <f>EDisponible!AB77</f>
        <v>224548.11897000103</v>
      </c>
      <c r="L165" s="129">
        <f t="shared" si="81"/>
        <v>779614.08271208778</v>
      </c>
      <c r="M165" s="129">
        <f t="shared" si="82"/>
        <v>-100.17822648818408</v>
      </c>
      <c r="N165" s="134">
        <f t="shared" si="83"/>
        <v>-18.182931626105706</v>
      </c>
      <c r="O165" s="129">
        <f>EDisponible!AH77</f>
        <v>206005.985006387</v>
      </c>
      <c r="P165" s="129">
        <f t="shared" si="84"/>
        <v>865291.28308528953</v>
      </c>
      <c r="Q165" s="129">
        <f t="shared" si="85"/>
        <v>-118.9877171823253</v>
      </c>
      <c r="R165" s="134">
        <f t="shared" si="86"/>
        <v>-21.311933314231688</v>
      </c>
      <c r="S165" s="129">
        <f>EDisponible!AN77</f>
        <v>186197.67792052004</v>
      </c>
      <c r="T165" s="129">
        <f t="shared" si="87"/>
        <v>954305.70800212235</v>
      </c>
      <c r="U165" s="129">
        <f t="shared" si="88"/>
        <v>-138.62802843494413</v>
      </c>
      <c r="V165" s="134">
        <f t="shared" si="89"/>
        <v>-24.442657075716447</v>
      </c>
      <c r="W165" s="129">
        <f>EDisponible!AT77</f>
        <v>163770.24052225839</v>
      </c>
      <c r="X165" s="129">
        <f t="shared" si="90"/>
        <v>1043153.9010724463</v>
      </c>
      <c r="Y165" s="129">
        <f t="shared" si="91"/>
        <v>-158.71103845513176</v>
      </c>
      <c r="Z165" s="134">
        <f t="shared" si="92"/>
        <v>-27.490848520290616</v>
      </c>
      <c r="AA165" s="129">
        <f>EDisponible!AZ77</f>
        <v>133512.44158889103</v>
      </c>
      <c r="AB165" s="129">
        <f t="shared" si="93"/>
        <v>1128512.615748398</v>
      </c>
      <c r="AC165" s="129">
        <f t="shared" si="94"/>
        <v>-179.57749044949387</v>
      </c>
      <c r="AD165" s="134">
        <f t="shared" si="95"/>
        <v>-30.488668648524285</v>
      </c>
      <c r="AE165" s="129">
        <f>EDisponible!BF77</f>
        <v>107958.90517848244</v>
      </c>
      <c r="AF165" s="129">
        <f t="shared" si="96"/>
        <v>1207334.8853390974</v>
      </c>
      <c r="AG165" s="129">
        <f t="shared" si="97"/>
        <v>-198.41522112743587</v>
      </c>
      <c r="AH165" s="134">
        <f t="shared" si="98"/>
        <v>-33.04568121837508</v>
      </c>
    </row>
    <row r="166" spans="1:34">
      <c r="A166" s="125">
        <v>310</v>
      </c>
      <c r="B166" s="126"/>
      <c r="C166" s="129">
        <f>EDisponible!P78</f>
        <v>250424.75520133469</v>
      </c>
      <c r="D166" s="129">
        <f t="shared" si="75"/>
        <v>823174.79600481736</v>
      </c>
      <c r="E166" s="129">
        <f t="shared" si="76"/>
        <v>-105.06443385334174</v>
      </c>
      <c r="F166" s="134">
        <f t="shared" si="77"/>
        <v>-18.722420553721093</v>
      </c>
      <c r="G166" s="129">
        <f>EDisponible!V78</f>
        <v>238522.16332169148</v>
      </c>
      <c r="H166" s="129">
        <f t="shared" si="78"/>
        <v>912359.97135026741</v>
      </c>
      <c r="I166" s="129">
        <f t="shared" si="79"/>
        <v>-123.60782674093285</v>
      </c>
      <c r="J166" s="134">
        <f t="shared" si="80"/>
        <v>-21.738896499602529</v>
      </c>
      <c r="K166" s="129">
        <f>EDisponible!AB78</f>
        <v>222948.24909356178</v>
      </c>
      <c r="L166" s="129">
        <f t="shared" si="81"/>
        <v>1009469.5645959767</v>
      </c>
      <c r="M166" s="129">
        <f t="shared" si="82"/>
        <v>-144.27832534227613</v>
      </c>
      <c r="N166" s="134">
        <f t="shared" si="83"/>
        <v>-24.957925683824428</v>
      </c>
      <c r="O166" s="129">
        <f>EDisponible!AH78</f>
        <v>204956.01802032415</v>
      </c>
      <c r="P166" s="129">
        <f t="shared" si="84"/>
        <v>1110618.5060891176</v>
      </c>
      <c r="Q166" s="129">
        <f t="shared" si="85"/>
        <v>-166.13340862913134</v>
      </c>
      <c r="R166" s="134">
        <f t="shared" si="86"/>
        <v>-28.187490348888431</v>
      </c>
      <c r="S166" s="129">
        <f>EDisponible!AN78</f>
        <v>185582.39779743165</v>
      </c>
      <c r="T166" s="129">
        <f t="shared" si="87"/>
        <v>1211982.6305325322</v>
      </c>
      <c r="U166" s="129">
        <f t="shared" si="88"/>
        <v>-188.28136477820362</v>
      </c>
      <c r="V166" s="134">
        <f t="shared" si="89"/>
        <v>-31.27278949136387</v>
      </c>
      <c r="W166" s="129">
        <f>EDisponible!AT78</f>
        <v>165569.24249807026</v>
      </c>
      <c r="X166" s="129">
        <f t="shared" si="90"/>
        <v>1309898.9384659606</v>
      </c>
      <c r="Y166" s="129">
        <f t="shared" si="91"/>
        <v>-209.91417386853553</v>
      </c>
      <c r="Z166" s="134">
        <f t="shared" si="92"/>
        <v>-34.10359838570011</v>
      </c>
      <c r="AA166" s="129">
        <f>EDisponible!AZ78</f>
        <v>135046.04992848376</v>
      </c>
      <c r="AB166" s="129">
        <f t="shared" si="93"/>
        <v>1400958.864360864</v>
      </c>
      <c r="AC166" s="129">
        <f t="shared" si="94"/>
        <v>-232.21720415671379</v>
      </c>
      <c r="AD166" s="134">
        <f t="shared" si="95"/>
        <v>-36.836431623690764</v>
      </c>
      <c r="AE166" s="129">
        <f>EDisponible!BF78</f>
        <v>109257.06508094979</v>
      </c>
      <c r="AF166" s="129">
        <f t="shared" si="96"/>
        <v>1482097.3916952049</v>
      </c>
      <c r="AG166" s="129">
        <f t="shared" si="97"/>
        <v>-251.83183135948966</v>
      </c>
      <c r="AH166" s="134">
        <f t="shared" si="98"/>
        <v>-39.089052596535744</v>
      </c>
    </row>
    <row r="167" spans="1:34">
      <c r="A167" s="125">
        <v>315</v>
      </c>
      <c r="B167" s="126"/>
      <c r="C167" s="129">
        <f>EDisponible!P79</f>
        <v>247175.49430466082</v>
      </c>
      <c r="D167" s="129">
        <f t="shared" si="75"/>
        <v>1068383.7343256015</v>
      </c>
      <c r="E167" s="129">
        <f t="shared" si="76"/>
        <v>-153.07094177804171</v>
      </c>
      <c r="F167" s="134">
        <f t="shared" si="77"/>
        <v>-25.916947649056045</v>
      </c>
      <c r="G167" s="129">
        <f>EDisponible!V79</f>
        <v>236136.39077031068</v>
      </c>
      <c r="H167" s="129">
        <f t="shared" si="78"/>
        <v>1178537.0888879958</v>
      </c>
      <c r="I167" s="129">
        <f t="shared" si="79"/>
        <v>-175.66088035049381</v>
      </c>
      <c r="J167" s="134">
        <f t="shared" si="80"/>
        <v>-29.146379662103751</v>
      </c>
      <c r="K167" s="129">
        <f>EDisponible!AB79</f>
        <v>221268.49519557614</v>
      </c>
      <c r="L167" s="129">
        <f t="shared" si="81"/>
        <v>1293499.7193724189</v>
      </c>
      <c r="M167" s="129">
        <f t="shared" si="82"/>
        <v>-199.86093086984448</v>
      </c>
      <c r="N167" s="134">
        <f t="shared" si="83"/>
        <v>-32.394275052017562</v>
      </c>
      <c r="O167" s="129">
        <f>EDisponible!AH79</f>
        <v>203845.09826009371</v>
      </c>
      <c r="P167" s="129">
        <f t="shared" si="84"/>
        <v>1409121.3862849711</v>
      </c>
      <c r="Q167" s="129">
        <f t="shared" si="85"/>
        <v>-224.660162331062</v>
      </c>
      <c r="R167" s="134">
        <f t="shared" si="86"/>
        <v>-35.496726317467861</v>
      </c>
      <c r="S167" s="129">
        <f>EDisponible!AN79</f>
        <v>184921.73801343027</v>
      </c>
      <c r="T167" s="129">
        <f t="shared" si="87"/>
        <v>1521398.5748121755</v>
      </c>
      <c r="U167" s="129">
        <f t="shared" si="88"/>
        <v>-249.11558129044764</v>
      </c>
      <c r="V167" s="134">
        <f t="shared" si="89"/>
        <v>-38.338467194585768</v>
      </c>
      <c r="W167" s="129">
        <f>EDisponible!AT79</f>
        <v>165359.44330506778</v>
      </c>
      <c r="X167" s="129">
        <f t="shared" si="90"/>
        <v>1626566.5392309979</v>
      </c>
      <c r="Y167" s="129">
        <f t="shared" si="91"/>
        <v>-272.36495617778502</v>
      </c>
      <c r="Z167" s="134">
        <f t="shared" si="92"/>
        <v>-40.848354113358546</v>
      </c>
      <c r="AA167" s="129">
        <f>EDisponible!AZ79</f>
        <v>136625.27332358493</v>
      </c>
      <c r="AB167" s="129">
        <f t="shared" si="93"/>
        <v>1721185.6425954136</v>
      </c>
      <c r="AC167" s="129">
        <f t="shared" si="94"/>
        <v>-295.35766472876037</v>
      </c>
      <c r="AD167" s="134">
        <f t="shared" si="95"/>
        <v>-43.156761685192066</v>
      </c>
      <c r="AE167" s="129">
        <f>EDisponible!BF79</f>
        <v>110593.71147780943</v>
      </c>
      <c r="AF167" s="129">
        <f t="shared" si="96"/>
        <v>1802224.3473845734</v>
      </c>
      <c r="AG167" s="129">
        <f t="shared" si="97"/>
        <v>-315.3152659211421</v>
      </c>
      <c r="AH167" s="134">
        <f t="shared" si="98"/>
        <v>-45.028657730783394</v>
      </c>
    </row>
    <row r="168" spans="1:34">
      <c r="A168" s="125">
        <v>320</v>
      </c>
      <c r="B168" s="126"/>
      <c r="C168" s="129">
        <f>EDisponible!P80</f>
        <v>243788.86388028748</v>
      </c>
      <c r="D168" s="129">
        <f t="shared" si="75"/>
        <v>1376244.2439133632</v>
      </c>
      <c r="E168" s="129">
        <f t="shared" si="76"/>
        <v>-214.43712685047214</v>
      </c>
      <c r="F168" s="134">
        <f t="shared" si="77"/>
        <v>-33.826672960165276</v>
      </c>
      <c r="G168" s="129">
        <f>EDisponible!V80</f>
        <v>233641.47521738583</v>
      </c>
      <c r="H168" s="129">
        <f t="shared" si="78"/>
        <v>1506861.6239501634</v>
      </c>
      <c r="I168" s="129">
        <f t="shared" si="79"/>
        <v>-241.09176869680579</v>
      </c>
      <c r="J168" s="134">
        <f t="shared" si="80"/>
        <v>-36.994800377387868</v>
      </c>
      <c r="K168" s="129">
        <f>EDisponible!AB80</f>
        <v>219503.32709780298</v>
      </c>
      <c r="L168" s="129">
        <f t="shared" si="81"/>
        <v>1638628.3140686448</v>
      </c>
      <c r="M168" s="129">
        <f t="shared" si="82"/>
        <v>-268.71971312357834</v>
      </c>
      <c r="N168" s="134">
        <f t="shared" si="83"/>
        <v>-40.021829929541077</v>
      </c>
      <c r="O168" s="129">
        <f>EDisponible!AH80</f>
        <v>202668.53895053599</v>
      </c>
      <c r="P168" s="129">
        <f t="shared" si="84"/>
        <v>1767194.681911187</v>
      </c>
      <c r="Q168" s="129">
        <f t="shared" si="85"/>
        <v>-296.25228233639922</v>
      </c>
      <c r="R168" s="134">
        <f t="shared" si="86"/>
        <v>-42.793158557742608</v>
      </c>
      <c r="S168" s="129">
        <f>EDisponible!AN80</f>
        <v>184211.75605600036</v>
      </c>
      <c r="T168" s="129">
        <f t="shared" si="87"/>
        <v>1888438.6068032444</v>
      </c>
      <c r="U168" s="129">
        <f t="shared" si="88"/>
        <v>-322.70543795287864</v>
      </c>
      <c r="V168" s="134">
        <f t="shared" si="89"/>
        <v>-45.241182432454373</v>
      </c>
      <c r="W168" s="129">
        <f>EDisponible!AT80</f>
        <v>165011.45489078524</v>
      </c>
      <c r="X168" s="129">
        <f t="shared" si="90"/>
        <v>1998550.5802547522</v>
      </c>
      <c r="Y168" s="129">
        <f t="shared" si="91"/>
        <v>-347.19148228117655</v>
      </c>
      <c r="Z168" s="134">
        <f t="shared" si="92"/>
        <v>-47.33380595237103</v>
      </c>
      <c r="AA168" s="129">
        <f>EDisponible!AZ80</f>
        <v>138250.59756770747</v>
      </c>
      <c r="AB168" s="129">
        <f t="shared" si="93"/>
        <v>2094113.9786703144</v>
      </c>
      <c r="AC168" s="129">
        <f t="shared" si="94"/>
        <v>-370.35430388740195</v>
      </c>
      <c r="AD168" s="134">
        <f t="shared" si="95"/>
        <v>-49.171754875246229</v>
      </c>
      <c r="AE168" s="129">
        <f>EDisponible!BF80</f>
        <v>111969.274049738</v>
      </c>
      <c r="AF168" s="129">
        <f t="shared" si="96"/>
        <v>2172182.5188067798</v>
      </c>
      <c r="AG168" s="129">
        <f t="shared" si="97"/>
        <v>-390.1135679995491</v>
      </c>
      <c r="AH168" s="134">
        <f t="shared" si="98"/>
        <v>-50.638862982118908</v>
      </c>
    </row>
    <row r="169" spans="1:34">
      <c r="A169" s="125">
        <v>325</v>
      </c>
      <c r="B169" s="126"/>
      <c r="C169" s="129">
        <f>EDisponible!P81</f>
        <v>240257.0698028811</v>
      </c>
      <c r="D169" s="129">
        <f t="shared" si="75"/>
        <v>1755224.2299587829</v>
      </c>
      <c r="E169" s="129">
        <f t="shared" si="76"/>
        <v>-291.350308138983</v>
      </c>
      <c r="F169" s="134">
        <f t="shared" si="77"/>
        <v>-41.875034884382082</v>
      </c>
      <c r="G169" s="129">
        <f>EDisponible!V81</f>
        <v>231030.71933867698</v>
      </c>
      <c r="H169" s="129">
        <f t="shared" si="78"/>
        <v>1905198.8527610498</v>
      </c>
      <c r="I169" s="129">
        <f t="shared" si="79"/>
        <v>-321.96698012838721</v>
      </c>
      <c r="J169" s="134">
        <f t="shared" si="80"/>
        <v>-44.73139592888672</v>
      </c>
      <c r="K169" s="129">
        <f>EDisponible!AB81</f>
        <v>217647.02565276122</v>
      </c>
      <c r="L169" s="129">
        <f t="shared" si="81"/>
        <v>2052140.6558678353</v>
      </c>
      <c r="M169" s="129">
        <f t="shared" si="82"/>
        <v>-352.79991441343276</v>
      </c>
      <c r="N169" s="134">
        <f t="shared" si="83"/>
        <v>-47.348665844250952</v>
      </c>
      <c r="O169" s="129">
        <f>EDisponible!AH81</f>
        <v>201421.48906970941</v>
      </c>
      <c r="P169" s="129">
        <f t="shared" si="84"/>
        <v>2191564.3522511097</v>
      </c>
      <c r="Q169" s="129">
        <f t="shared" si="85"/>
        <v>-382.73353487664389</v>
      </c>
      <c r="R169" s="134">
        <f t="shared" si="86"/>
        <v>-49.663590759908459</v>
      </c>
      <c r="S169" s="129">
        <f>EDisponible!AN81</f>
        <v>183448.36729461217</v>
      </c>
      <c r="T169" s="129">
        <f t="shared" si="87"/>
        <v>2319289.000682286</v>
      </c>
      <c r="U169" s="129">
        <f t="shared" si="88"/>
        <v>-410.75334372873294</v>
      </c>
      <c r="V169" s="134">
        <f t="shared" si="89"/>
        <v>-51.647929438894238</v>
      </c>
      <c r="W169" s="129">
        <f>EDisponible!AT81</f>
        <v>164624.04513171015</v>
      </c>
      <c r="X169" s="129">
        <f t="shared" si="90"/>
        <v>2431517.0515002161</v>
      </c>
      <c r="Y169" s="129">
        <f t="shared" si="91"/>
        <v>-435.95662882593666</v>
      </c>
      <c r="Z169" s="134">
        <f t="shared" si="92"/>
        <v>-53.295949648402797</v>
      </c>
      <c r="AA169" s="129">
        <f>EDisponible!AZ81</f>
        <v>139922.52300673528</v>
      </c>
      <c r="AB169" s="129">
        <f t="shared" si="93"/>
        <v>2524909.164155928</v>
      </c>
      <c r="AC169" s="129">
        <f t="shared" si="94"/>
        <v>-458.66775932929687</v>
      </c>
      <c r="AD169" s="134">
        <f t="shared" si="95"/>
        <v>-54.679609507252351</v>
      </c>
      <c r="AE169" s="129">
        <f>EDisponible!BF81</f>
        <v>113384.19445535092</v>
      </c>
      <c r="AF169" s="129">
        <f t="shared" si="96"/>
        <v>2596656.5488746045</v>
      </c>
      <c r="AG169" s="129">
        <f t="shared" si="97"/>
        <v>-477.56953726879038</v>
      </c>
      <c r="AH169" s="134">
        <f t="shared" si="98"/>
        <v>-55.763570535671043</v>
      </c>
    </row>
    <row r="170" spans="1:34">
      <c r="A170" s="125">
        <v>330</v>
      </c>
      <c r="B170" s="126"/>
      <c r="C170" s="129">
        <f>EDisponible!P82</f>
        <v>236572.06143471462</v>
      </c>
      <c r="D170" s="129">
        <f t="shared" si="75"/>
        <v>2214227.8268535393</v>
      </c>
      <c r="E170" s="129">
        <f t="shared" si="76"/>
        <v>-386.18334645138589</v>
      </c>
      <c r="F170" s="134">
        <f t="shared" si="77"/>
        <v>-49.485568394363547</v>
      </c>
      <c r="G170" s="129">
        <f>EDisponible!V82</f>
        <v>228297.20080030622</v>
      </c>
      <c r="H170" s="129">
        <f t="shared" si="78"/>
        <v>2381818.3973472249</v>
      </c>
      <c r="I170" s="129">
        <f t="shared" si="79"/>
        <v>-420.52516766503874</v>
      </c>
      <c r="J170" s="134">
        <f t="shared" si="80"/>
        <v>-51.877550811370782</v>
      </c>
      <c r="K170" s="129">
        <f>EDisponible!AB82</f>
        <v>215693.67510467014</v>
      </c>
      <c r="L170" s="129">
        <f t="shared" si="81"/>
        <v>2541693.8289985745</v>
      </c>
      <c r="M170" s="129">
        <f t="shared" si="82"/>
        <v>-454.20570100426647</v>
      </c>
      <c r="N170" s="134">
        <f t="shared" si="83"/>
        <v>-53.999980039752195</v>
      </c>
      <c r="O170" s="129">
        <f>EDisponible!AH82</f>
        <v>200098.92651715546</v>
      </c>
      <c r="P170" s="129">
        <f t="shared" si="84"/>
        <v>2689295.8194554891</v>
      </c>
      <c r="Q170" s="129">
        <f t="shared" si="85"/>
        <v>-486.07366504338944</v>
      </c>
      <c r="R170" s="134">
        <f t="shared" si="86"/>
        <v>-55.82704687201106</v>
      </c>
      <c r="S170" s="129">
        <f>EDisponible!AN82</f>
        <v>182627.33889657291</v>
      </c>
      <c r="T170" s="129">
        <f t="shared" si="87"/>
        <v>2820444.0309453146</v>
      </c>
      <c r="U170" s="129">
        <f t="shared" si="88"/>
        <v>-515.09514207340987</v>
      </c>
      <c r="V170" s="134">
        <f t="shared" si="89"/>
        <v>-57.35400538368301</v>
      </c>
      <c r="W170" s="129">
        <f>EDisponible!AT82</f>
        <v>164193.67433160148</v>
      </c>
      <c r="X170" s="129">
        <f t="shared" si="90"/>
        <v>2931409.7141531184</v>
      </c>
      <c r="Y170" s="129">
        <f t="shared" si="91"/>
        <v>-540.36337834856067</v>
      </c>
      <c r="Z170" s="134">
        <f t="shared" si="92"/>
        <v>-58.587581077523275</v>
      </c>
      <c r="AA170" s="129">
        <f>EDisponible!AZ82</f>
        <v>141641.56398693623</v>
      </c>
      <c r="AB170" s="129">
        <f t="shared" si="93"/>
        <v>3018985.5090514212</v>
      </c>
      <c r="AC170" s="129">
        <f t="shared" si="94"/>
        <v>-561.86841665101974</v>
      </c>
      <c r="AD170" s="134">
        <f t="shared" si="95"/>
        <v>-59.573170859120729</v>
      </c>
      <c r="AE170" s="129">
        <f>EDisponible!BF82</f>
        <v>114838.92584906587</v>
      </c>
      <c r="AF170" s="129">
        <f t="shared" si="96"/>
        <v>3080552.9733647113</v>
      </c>
      <c r="AG170" s="129">
        <f t="shared" si="97"/>
        <v>-579.12473723399717</v>
      </c>
      <c r="AH170" s="134">
        <f t="shared" si="98"/>
        <v>-60.324409911212378</v>
      </c>
    </row>
    <row r="171" spans="1:34">
      <c r="A171" s="125">
        <v>335</v>
      </c>
      <c r="B171" s="126"/>
      <c r="C171" s="129">
        <f>EDisponible!P83</f>
        <v>232725.52198947591</v>
      </c>
      <c r="D171" s="129">
        <f t="shared" si="75"/>
        <v>2762609.8930049515</v>
      </c>
      <c r="E171" s="129">
        <f t="shared" si="76"/>
        <v>-501.50397670218308</v>
      </c>
      <c r="F171" s="134">
        <f t="shared" si="77"/>
        <v>-56.257444451758907</v>
      </c>
      <c r="G171" s="129">
        <f>EDisponible!V83</f>
        <v>225433.76357116643</v>
      </c>
      <c r="H171" s="129">
        <f t="shared" si="78"/>
        <v>2945405.6927991938</v>
      </c>
      <c r="I171" s="129">
        <f t="shared" si="79"/>
        <v>-539.18540888832604</v>
      </c>
      <c r="J171" s="134">
        <f t="shared" si="80"/>
        <v>-58.147000999012242</v>
      </c>
      <c r="K171" s="129">
        <f>EDisponible!AB83</f>
        <v>213637.15528581769</v>
      </c>
      <c r="L171" s="129">
        <f t="shared" si="81"/>
        <v>3115325.9854830364</v>
      </c>
      <c r="M171" s="129">
        <f t="shared" si="82"/>
        <v>-575.2075091527214</v>
      </c>
      <c r="N171" s="134">
        <f t="shared" si="83"/>
        <v>-59.783541752241767</v>
      </c>
      <c r="O171" s="129">
        <f>EDisponible!AH83</f>
        <v>198695.65113160346</v>
      </c>
      <c r="P171" s="129">
        <f t="shared" si="84"/>
        <v>3267801.6339531145</v>
      </c>
      <c r="Q171" s="129">
        <f t="shared" si="85"/>
        <v>-608.3949420532764</v>
      </c>
      <c r="R171" s="134">
        <f t="shared" si="86"/>
        <v>-61.161537142147566</v>
      </c>
      <c r="S171" s="129">
        <f>EDisponible!AN83</f>
        <v>181744.28360553074</v>
      </c>
      <c r="T171" s="129">
        <f t="shared" si="87"/>
        <v>3398712.3814174756</v>
      </c>
      <c r="U171" s="129">
        <f t="shared" si="88"/>
        <v>-637.70594121231443</v>
      </c>
      <c r="V171" s="134">
        <f t="shared" si="89"/>
        <v>-62.286133835298749</v>
      </c>
      <c r="W171" s="129">
        <f>EDisponible!AT83</f>
        <v>163716.66950262233</v>
      </c>
      <c r="X171" s="129">
        <f t="shared" si="90"/>
        <v>3504455.5083122519</v>
      </c>
      <c r="Y171" s="129">
        <f t="shared" si="91"/>
        <v>-662.24125971179183</v>
      </c>
      <c r="Z171" s="134">
        <f t="shared" si="92"/>
        <v>-63.167070235138027</v>
      </c>
      <c r="AA171" s="129">
        <f>EDisponible!AZ83</f>
        <v>143408.24830966018</v>
      </c>
      <c r="AB171" s="129">
        <f t="shared" si="93"/>
        <v>3582010.930344284</v>
      </c>
      <c r="AC171" s="129">
        <f t="shared" si="94"/>
        <v>-681.64100268620837</v>
      </c>
      <c r="AD171" s="134">
        <f t="shared" si="95"/>
        <v>-63.827680934158423</v>
      </c>
      <c r="AE171" s="129">
        <f>EDisponible!BF83</f>
        <v>116333.93240260218</v>
      </c>
      <c r="AF171" s="129">
        <f t="shared" si="96"/>
        <v>3629004.1247949135</v>
      </c>
      <c r="AG171" s="129">
        <f t="shared" si="97"/>
        <v>-696.32355158622022</v>
      </c>
      <c r="AH171" s="134">
        <f t="shared" si="98"/>
        <v>-64.307876926517949</v>
      </c>
    </row>
    <row r="172" spans="1:34">
      <c r="A172" s="125">
        <v>340</v>
      </c>
      <c r="B172" s="126"/>
      <c r="C172" s="129">
        <f>EDisponible!P84</f>
        <v>228708.8586922203</v>
      </c>
      <c r="D172" s="129">
        <f t="shared" si="75"/>
        <v>3410188.7833746467</v>
      </c>
      <c r="E172" s="129">
        <f t="shared" si="76"/>
        <v>-640.08405129968071</v>
      </c>
      <c r="F172" s="134">
        <f t="shared" si="77"/>
        <v>-62.023642898496909</v>
      </c>
      <c r="G172" s="129">
        <f>EDisponible!V84</f>
        <v>222433.00904799977</v>
      </c>
      <c r="H172" s="129">
        <f t="shared" si="78"/>
        <v>3605072.3776081908</v>
      </c>
      <c r="I172" s="129">
        <f t="shared" si="79"/>
        <v>-680.55545292492366</v>
      </c>
      <c r="J172" s="134">
        <f t="shared" si="80"/>
        <v>-63.453657248737073</v>
      </c>
      <c r="K172" s="129">
        <f>EDisponible!AB84</f>
        <v>211471.13364120925</v>
      </c>
      <c r="L172" s="129">
        <f t="shared" si="81"/>
        <v>3781464.949043218</v>
      </c>
      <c r="M172" s="129">
        <f t="shared" si="82"/>
        <v>-718.24941806144477</v>
      </c>
      <c r="N172" s="134">
        <f t="shared" si="83"/>
        <v>-64.66838147556706</v>
      </c>
      <c r="O172" s="129">
        <f>EDisponible!AH84</f>
        <v>197206.27755167973</v>
      </c>
      <c r="P172" s="129">
        <f t="shared" si="84"/>
        <v>3934848.6938453862</v>
      </c>
      <c r="Q172" s="129">
        <f t="shared" si="85"/>
        <v>-751.97875101148463</v>
      </c>
      <c r="R172" s="134">
        <f t="shared" si="86"/>
        <v>-65.670350615580418</v>
      </c>
      <c r="S172" s="129">
        <f>EDisponible!AN84</f>
        <v>180794.65337684896</v>
      </c>
      <c r="T172" s="129">
        <f t="shared" si="87"/>
        <v>4061223.2596751177</v>
      </c>
      <c r="U172" s="129">
        <f t="shared" si="88"/>
        <v>-780.70599906315658</v>
      </c>
      <c r="V172" s="134">
        <f t="shared" si="89"/>
        <v>-66.466718105129189</v>
      </c>
      <c r="W172" s="129">
        <f>EDisponible!AT84</f>
        <v>163189.218716159</v>
      </c>
      <c r="X172" s="129">
        <f t="shared" si="90"/>
        <v>4157169.7628992768</v>
      </c>
      <c r="Y172" s="129">
        <f t="shared" si="91"/>
        <v>-803.55158858593768</v>
      </c>
      <c r="Z172" s="134">
        <f t="shared" si="92"/>
        <v>-67.065730471868306</v>
      </c>
      <c r="AA172" s="129">
        <f>EDisponible!AZ84</f>
        <v>145161.89777336488</v>
      </c>
      <c r="AB172" s="129">
        <f t="shared" si="93"/>
        <v>4219911.4056652775</v>
      </c>
      <c r="AC172" s="129">
        <f t="shared" si="94"/>
        <v>-819.80154984104854</v>
      </c>
      <c r="AD172" s="134">
        <f t="shared" si="95"/>
        <v>-67.474527392368714</v>
      </c>
      <c r="AE172" s="129">
        <f>EDisponible!BF84</f>
        <v>117869.68882848472</v>
      </c>
      <c r="AF172" s="129">
        <f t="shared" si="96"/>
        <v>4247371.9429017641</v>
      </c>
      <c r="AG172" s="129">
        <f t="shared" si="97"/>
        <v>-830.81729107633259</v>
      </c>
      <c r="AH172" s="134">
        <f t="shared" si="98"/>
        <v>-67.743875772456207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72"/>
  <sheetViews>
    <sheetView zoomScale="80" zoomScaleNormal="80" workbookViewId="0">
      <selection activeCell="L104" sqref="L104"/>
    </sheetView>
  </sheetViews>
  <sheetFormatPr baseColWidth="10" defaultRowHeight="15"/>
  <cols>
    <col min="6" max="6" width="13.5703125" bestFit="1" customWidth="1"/>
    <col min="18" max="18" width="13.5703125" bestFit="1" customWidth="1"/>
  </cols>
  <sheetData>
    <row r="1" spans="1:66">
      <c r="A1" s="68" t="s">
        <v>133</v>
      </c>
      <c r="B1" s="118"/>
      <c r="C1" s="118"/>
      <c r="D1" s="118"/>
      <c r="E1" s="118"/>
      <c r="F1" s="118"/>
      <c r="G1" s="118"/>
      <c r="H1" s="118"/>
      <c r="I1" s="118"/>
      <c r="J1" s="11" t="s">
        <v>66</v>
      </c>
      <c r="K1" s="118">
        <f>POLAR!B10</f>
        <v>1.3125598034927405E-2</v>
      </c>
      <c r="L1" s="68" t="s">
        <v>93</v>
      </c>
      <c r="M1" s="118">
        <f>POLAR!I3</f>
        <v>37.56</v>
      </c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</row>
    <row r="2" spans="1:66">
      <c r="A2" s="118"/>
      <c r="B2" s="118"/>
      <c r="C2" s="118"/>
      <c r="D2" s="118"/>
      <c r="E2" s="118"/>
      <c r="F2" s="118"/>
      <c r="G2" s="118"/>
      <c r="H2" s="118"/>
      <c r="I2" s="118"/>
      <c r="J2" s="45" t="s">
        <v>71</v>
      </c>
      <c r="K2" s="45">
        <f>1/(PI()*DATOS!B$6*DATOS!J$18)</f>
        <v>6.2805409961308373E-2</v>
      </c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</row>
    <row r="3" spans="1:66">
      <c r="A3" s="118"/>
      <c r="B3" s="118"/>
      <c r="C3" s="118"/>
      <c r="D3" s="118"/>
      <c r="E3" s="118"/>
      <c r="F3" s="118"/>
      <c r="G3" s="118"/>
      <c r="H3" s="118"/>
      <c r="I3" s="118"/>
      <c r="J3" s="45" t="s">
        <v>77</v>
      </c>
      <c r="K3" s="118">
        <f>DATOS!B5</f>
        <v>358.7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</row>
    <row r="4" spans="1:66">
      <c r="A4" s="73" t="s">
        <v>132</v>
      </c>
      <c r="B4" s="43"/>
      <c r="C4" s="43">
        <f>DATOS!M14*9.81</f>
        <v>1436193.81</v>
      </c>
      <c r="D4" s="7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</row>
    <row r="5" spans="1:66">
      <c r="A5" s="44"/>
      <c r="B5" s="44"/>
      <c r="C5" s="44" t="s">
        <v>64</v>
      </c>
      <c r="D5" s="44" t="s">
        <v>65</v>
      </c>
      <c r="E5" s="74">
        <f>DATOS!B24</f>
        <v>1.2307834756847218</v>
      </c>
      <c r="F5" s="44"/>
      <c r="G5" s="68" t="s">
        <v>130</v>
      </c>
      <c r="H5" s="118"/>
      <c r="I5" s="118"/>
      <c r="J5" s="118"/>
      <c r="K5" s="44" t="s">
        <v>78</v>
      </c>
      <c r="L5" s="44" t="s">
        <v>65</v>
      </c>
      <c r="M5" s="74">
        <f>DATOS!C24</f>
        <v>1.0632293336293623</v>
      </c>
      <c r="N5" s="44"/>
      <c r="O5" s="68" t="s">
        <v>130</v>
      </c>
      <c r="P5" s="118"/>
      <c r="Q5" s="118"/>
      <c r="R5" s="118"/>
      <c r="S5" s="47" t="s">
        <v>80</v>
      </c>
      <c r="T5" s="44" t="s">
        <v>65</v>
      </c>
      <c r="U5" s="74">
        <f>DATOS!D24</f>
        <v>0.91371108984015903</v>
      </c>
      <c r="V5" s="44"/>
      <c r="W5" s="68" t="s">
        <v>130</v>
      </c>
      <c r="X5" s="118"/>
      <c r="Y5" s="118"/>
      <c r="Z5" s="118"/>
      <c r="AA5" s="47" t="s">
        <v>82</v>
      </c>
      <c r="AB5" s="47" t="s">
        <v>65</v>
      </c>
      <c r="AC5" s="75">
        <f>DATOS!E24</f>
        <v>0.78083687721425932</v>
      </c>
      <c r="AD5" s="47"/>
      <c r="AE5" s="68" t="s">
        <v>130</v>
      </c>
      <c r="AF5" s="118"/>
      <c r="AG5" s="118"/>
      <c r="AH5" s="118"/>
      <c r="AI5" s="44" t="s">
        <v>83</v>
      </c>
      <c r="AJ5" s="44" t="s">
        <v>65</v>
      </c>
      <c r="AK5" s="74">
        <f>DATOS!F24</f>
        <v>0.66327678178020855</v>
      </c>
      <c r="AL5" s="44"/>
      <c r="AM5" s="68" t="s">
        <v>130</v>
      </c>
      <c r="AN5" s="118"/>
      <c r="AO5" s="118"/>
      <c r="AP5" s="118"/>
      <c r="AQ5" s="44" t="s">
        <v>84</v>
      </c>
      <c r="AR5" s="44" t="s">
        <v>65</v>
      </c>
      <c r="AS5" s="74">
        <f>DATOS!G24</f>
        <v>0.55976225964731741</v>
      </c>
      <c r="AT5" s="44"/>
      <c r="AU5" s="68" t="s">
        <v>130</v>
      </c>
      <c r="AV5" s="118"/>
      <c r="AW5" s="118"/>
      <c r="AX5" s="118"/>
      <c r="AY5" s="44" t="s">
        <v>85</v>
      </c>
      <c r="AZ5" s="44" t="s">
        <v>65</v>
      </c>
      <c r="BA5" s="74">
        <f>DATOS!H24</f>
        <v>0.46908553738870118</v>
      </c>
      <c r="BB5" s="44"/>
      <c r="BC5" s="68" t="s">
        <v>130</v>
      </c>
      <c r="BD5" s="118"/>
      <c r="BE5" s="118"/>
      <c r="BF5" s="118"/>
      <c r="BG5" s="44" t="s">
        <v>86</v>
      </c>
      <c r="BH5" s="44" t="s">
        <v>65</v>
      </c>
      <c r="BI5" s="74">
        <f>DATOS!I24</f>
        <v>0.39009899471001425</v>
      </c>
      <c r="BJ5" s="44"/>
      <c r="BK5" s="68" t="s">
        <v>130</v>
      </c>
      <c r="BL5" s="118"/>
      <c r="BM5" s="118"/>
      <c r="BN5" s="118"/>
    </row>
    <row r="6" spans="1:66">
      <c r="A6" s="118" t="s">
        <v>52</v>
      </c>
      <c r="B6" s="44"/>
      <c r="C6" s="45" t="s">
        <v>67</v>
      </c>
      <c r="D6" s="118" t="s">
        <v>68</v>
      </c>
      <c r="E6" s="45" t="s">
        <v>69</v>
      </c>
      <c r="F6" s="70" t="s">
        <v>128</v>
      </c>
      <c r="G6" s="71" t="s">
        <v>129</v>
      </c>
      <c r="H6" s="68" t="s">
        <v>127</v>
      </c>
      <c r="I6" s="118" t="s">
        <v>124</v>
      </c>
      <c r="J6" s="68" t="s">
        <v>131</v>
      </c>
      <c r="K6" s="45" t="s">
        <v>67</v>
      </c>
      <c r="L6" s="118" t="s">
        <v>68</v>
      </c>
      <c r="M6" s="45" t="s">
        <v>69</v>
      </c>
      <c r="N6" s="11" t="s">
        <v>70</v>
      </c>
      <c r="O6" s="71" t="s">
        <v>129</v>
      </c>
      <c r="P6" s="68" t="s">
        <v>127</v>
      </c>
      <c r="Q6" s="118" t="s">
        <v>124</v>
      </c>
      <c r="R6" s="68" t="s">
        <v>131</v>
      </c>
      <c r="S6" s="45" t="s">
        <v>67</v>
      </c>
      <c r="T6" s="118" t="s">
        <v>68</v>
      </c>
      <c r="U6" s="45" t="s">
        <v>69</v>
      </c>
      <c r="V6" s="11" t="s">
        <v>70</v>
      </c>
      <c r="W6" s="71" t="s">
        <v>129</v>
      </c>
      <c r="X6" s="68" t="s">
        <v>127</v>
      </c>
      <c r="Y6" s="118" t="s">
        <v>124</v>
      </c>
      <c r="Z6" s="68" t="s">
        <v>131</v>
      </c>
      <c r="AA6" s="45" t="s">
        <v>67</v>
      </c>
      <c r="AB6" s="118" t="s">
        <v>68</v>
      </c>
      <c r="AC6" s="45" t="s">
        <v>69</v>
      </c>
      <c r="AD6" s="11" t="s">
        <v>70</v>
      </c>
      <c r="AE6" s="71" t="s">
        <v>129</v>
      </c>
      <c r="AF6" s="68" t="s">
        <v>127</v>
      </c>
      <c r="AG6" s="118" t="s">
        <v>124</v>
      </c>
      <c r="AH6" s="68" t="s">
        <v>131</v>
      </c>
      <c r="AI6" s="45" t="s">
        <v>67</v>
      </c>
      <c r="AJ6" s="118" t="s">
        <v>68</v>
      </c>
      <c r="AK6" s="45" t="s">
        <v>69</v>
      </c>
      <c r="AL6" s="11" t="s">
        <v>70</v>
      </c>
      <c r="AM6" s="71" t="s">
        <v>129</v>
      </c>
      <c r="AN6" s="68" t="s">
        <v>127</v>
      </c>
      <c r="AO6" s="118" t="s">
        <v>124</v>
      </c>
      <c r="AP6" s="68" t="s">
        <v>131</v>
      </c>
      <c r="AQ6" s="45" t="s">
        <v>67</v>
      </c>
      <c r="AR6" s="118" t="s">
        <v>68</v>
      </c>
      <c r="AS6" s="45" t="s">
        <v>69</v>
      </c>
      <c r="AT6" s="11" t="s">
        <v>70</v>
      </c>
      <c r="AU6" s="71" t="s">
        <v>129</v>
      </c>
      <c r="AV6" s="68" t="s">
        <v>127</v>
      </c>
      <c r="AW6" s="118" t="s">
        <v>124</v>
      </c>
      <c r="AX6" s="68" t="s">
        <v>131</v>
      </c>
      <c r="AY6" s="45" t="s">
        <v>67</v>
      </c>
      <c r="AZ6" s="118" t="s">
        <v>68</v>
      </c>
      <c r="BA6" s="45" t="s">
        <v>69</v>
      </c>
      <c r="BB6" s="11" t="s">
        <v>70</v>
      </c>
      <c r="BC6" s="71" t="s">
        <v>129</v>
      </c>
      <c r="BD6" s="68" t="s">
        <v>127</v>
      </c>
      <c r="BE6" s="118" t="s">
        <v>124</v>
      </c>
      <c r="BF6" s="68" t="s">
        <v>131</v>
      </c>
      <c r="BG6" s="45" t="s">
        <v>67</v>
      </c>
      <c r="BH6" s="118" t="s">
        <v>68</v>
      </c>
      <c r="BI6" s="45" t="s">
        <v>69</v>
      </c>
      <c r="BJ6" s="11" t="s">
        <v>70</v>
      </c>
      <c r="BK6" s="71" t="s">
        <v>129</v>
      </c>
      <c r="BL6" s="68" t="s">
        <v>127</v>
      </c>
      <c r="BM6" s="118" t="s">
        <v>124</v>
      </c>
      <c r="BN6" s="68" t="s">
        <v>131</v>
      </c>
    </row>
    <row r="7" spans="1:66">
      <c r="A7" s="41">
        <f>EDisponible!A20</f>
        <v>20</v>
      </c>
      <c r="B7" s="44"/>
      <c r="C7" s="118">
        <f t="shared" ref="C7:C70" si="0">E$5*A7^2*K$3</f>
        <v>176592.81309124388</v>
      </c>
      <c r="D7" s="118">
        <f t="shared" ref="D7:D70" si="1">2*C$4/C7</f>
        <v>16.265597504898821</v>
      </c>
      <c r="E7" s="118">
        <f t="shared" ref="E7:E70" si="2">K$1+D7^(2)*K$2</f>
        <v>16.629531695288836</v>
      </c>
      <c r="F7" s="118">
        <f t="shared" ref="F7:F70" si="3">0.5*C7*E7</f>
        <v>1468327.8912305287</v>
      </c>
      <c r="G7" s="118">
        <f>EDisponible!B20</f>
        <v>5.8564218430171157E-2</v>
      </c>
      <c r="H7" s="118">
        <f>G7-0.8</f>
        <v>-0.74143578156982892</v>
      </c>
      <c r="I7" s="118">
        <f>IF(H7&lt;0, 0, 0.00035*(10*H7/((1/COS(M$1))-0.8))^(3/(1+1/(DATOS!E$6))))</f>
        <v>0</v>
      </c>
      <c r="J7" s="118">
        <f>0.5*C7*(E7+I7)</f>
        <v>1468327.8912305287</v>
      </c>
      <c r="K7" s="118">
        <f>M$5*A7^2*K$3</f>
        <v>152552.1447891409</v>
      </c>
      <c r="L7" s="118">
        <f t="shared" ref="L7:L70" si="4">2*C$4/K7</f>
        <v>18.82889043592434</v>
      </c>
      <c r="M7" s="118">
        <f t="shared" ref="M7:M70" si="5">K$1+L7^(2)*K$2</f>
        <v>22.279346401027212</v>
      </c>
      <c r="N7" s="118">
        <f t="shared" ref="N7:N70" si="6">0.5*K7*M7</f>
        <v>1699381.0389884643</v>
      </c>
      <c r="O7" s="118">
        <f>EDisponible!C20</f>
        <v>5.9580898504096855E-2</v>
      </c>
      <c r="P7" s="118">
        <f>O7-0.8</f>
        <v>-0.74041910149590318</v>
      </c>
      <c r="Q7" s="118">
        <f>IF(P7&lt;0, 0, 0.00035*(10*P7/((1/COS(M$1))-0.8))^(3/(1+1/(DATOS!E$6))))</f>
        <v>0</v>
      </c>
      <c r="R7" s="118">
        <f>0.5*K7*(M7+Q7)</f>
        <v>1699381.0389884643</v>
      </c>
      <c r="S7" s="118">
        <f>U$5*A7^2*K$3</f>
        <v>131099.26717026602</v>
      </c>
      <c r="T7" s="118">
        <f t="shared" ref="T7:T70" si="7">2*C$4/S7</f>
        <v>21.910020414297726</v>
      </c>
      <c r="U7" s="118">
        <f t="shared" ref="U7:U70" si="8">K$1+T7^(2)*K$2</f>
        <v>30.162799502572021</v>
      </c>
      <c r="V7" s="118">
        <f t="shared" ref="V7:V70" si="9">0.5*S7*U7</f>
        <v>1977160.4552954282</v>
      </c>
      <c r="W7" s="118">
        <f>EDisponible!D20</f>
        <v>6.0652435028524965E-2</v>
      </c>
      <c r="X7" s="118">
        <f>W7-0.8</f>
        <v>-0.73934756497147514</v>
      </c>
      <c r="Y7" s="118">
        <f>IF(X7&lt;0, 0, 0.00035*(10*X7/((1/COS(M$1))-0.8))^(3/(1+1/(DATOS!E$6))))</f>
        <v>0</v>
      </c>
      <c r="Z7" s="118">
        <f>0.5*S7*(U7+Y7)</f>
        <v>1977160.4552954282</v>
      </c>
      <c r="AA7" s="118">
        <f>AC$5*A7^2*K$3</f>
        <v>112034.47514270192</v>
      </c>
      <c r="AB7" s="118">
        <f t="shared" ref="AB7:AB70" si="10">2*C$4/AA7</f>
        <v>25.638426174990755</v>
      </c>
      <c r="AC7" s="118">
        <f t="shared" ref="AC7:AC70" si="11">K$1+AB7^(2)*K$2</f>
        <v>41.296936436605442</v>
      </c>
      <c r="AD7" s="118">
        <f>0.5*AA7*AC7</f>
        <v>2313340.2993383068</v>
      </c>
      <c r="AE7" s="118">
        <f>EDisponible!E20</f>
        <v>6.1783945468758733E-2</v>
      </c>
      <c r="AF7" s="118">
        <f>AE7-0.8</f>
        <v>-0.73821605453124128</v>
      </c>
      <c r="AG7" s="118">
        <f>IF(AF7&lt;0, 0, 0.00035*(10*AF7/((1/COS(M$1))-0.8))^(3/(1+1/(DATOS!E$6))))</f>
        <v>0</v>
      </c>
      <c r="AH7" s="118">
        <f>0.5*AA7*(AC7+AG7)</f>
        <v>2313340.2993383068</v>
      </c>
      <c r="AI7" s="118">
        <f>AK$5*A7^2*K$3</f>
        <v>95166.952649824321</v>
      </c>
      <c r="AJ7" s="118">
        <f t="shared" ref="AJ7:AJ70" si="12">2*C$4/AI7</f>
        <v>30.182616339195164</v>
      </c>
      <c r="AK7" s="118">
        <f t="shared" ref="AK7:AK70" si="13">K$1+AJ7^(2)*K$2</f>
        <v>57.228246686631941</v>
      </c>
      <c r="AL7" s="118">
        <f t="shared" ref="AL7:AL70" si="14">0.5*AI7*AK7</f>
        <v>2723118.921329584</v>
      </c>
      <c r="AM7" s="118">
        <f>EDisponible!F20</f>
        <v>6.2981241599812374E-2</v>
      </c>
      <c r="AN7" s="118">
        <f>AM7-0.8</f>
        <v>-0.73701875840018771</v>
      </c>
      <c r="AO7" s="118">
        <f>IF(AN7&lt;0, 0, 0.00035*(10*AN7/((1/COS(M$1))-0.8))^(3/(1+1/(DATOS!E$6))))</f>
        <v>0</v>
      </c>
      <c r="AP7" s="118">
        <f>0.5*AI7*(AK7+AO7)</f>
        <v>2723118.921329584</v>
      </c>
      <c r="AQ7" s="118">
        <f>AS$5*A7^2*K$3</f>
        <v>80314.689014197094</v>
      </c>
      <c r="AR7" s="118">
        <f t="shared" ref="AR7:AR70" si="15">2*C$4/AQ7</f>
        <v>35.764162885474825</v>
      </c>
      <c r="AS7" s="118">
        <f t="shared" ref="AS7:AS70" si="16">K$1+AR7^(2)*K$2</f>
        <v>80.345977131415225</v>
      </c>
      <c r="AT7" s="118">
        <f t="shared" ref="AT7:AT70" si="17">0.5*AQ7*AS7</f>
        <v>3226481.0834257025</v>
      </c>
      <c r="AU7" s="118">
        <f>EDisponible!G20</f>
        <v>6.4250955513637353E-2</v>
      </c>
      <c r="AV7" s="118">
        <f>AU7-0.8</f>
        <v>-0.73574904448636269</v>
      </c>
      <c r="AW7" s="118">
        <f>IF(AV7&lt;0, 0, 0.00035*(10*AV7/((1/COS(M$1))-0.8))^(3/(1+1/(DATOS!E$6))))</f>
        <v>0</v>
      </c>
      <c r="AX7" s="118">
        <f t="shared" ref="AX7:AX70" si="18">0.5*AQ7*(AS7+AW7)</f>
        <v>3226481.0834257025</v>
      </c>
      <c r="AY7" s="118">
        <f>BA$5*A7^2*K$3</f>
        <v>67304.392904530847</v>
      </c>
      <c r="AZ7" s="118">
        <f t="shared" ref="AZ7:AZ70" si="19">2*C$4/AY7</f>
        <v>42.677565253049544</v>
      </c>
      <c r="BA7" s="118">
        <f t="shared" ref="BA7:BA70" si="20">K$1+AZ7^(2)*K$2</f>
        <v>114.40530253231611</v>
      </c>
      <c r="BB7" s="118">
        <f t="shared" ref="BB7:BB70" si="21">0.5*AY7*BA7</f>
        <v>3849989.7159983609</v>
      </c>
      <c r="BC7" s="118">
        <f>EDisponible!H20</f>
        <v>6.5600694753488883E-2</v>
      </c>
      <c r="BD7" s="118">
        <f>BC7-0.8</f>
        <v>-0.7343993052465112</v>
      </c>
      <c r="BE7" s="118">
        <f>IF(BD7&lt;0, 0, 0.00035*(10*BD7/((1/COS(M$1))-0.8))^(3/(1+1/(DATOS!E$6))))</f>
        <v>0</v>
      </c>
      <c r="BF7" s="118">
        <f t="shared" ref="BF7:BF70" si="22">0.5*AY7*(BA7+BE7)</f>
        <v>3849989.7159983609</v>
      </c>
      <c r="BG7" s="118">
        <f>BI$5*A7^2*K$3</f>
        <v>55971.403760992842</v>
      </c>
      <c r="BH7" s="118">
        <f t="shared" ref="BH7:BH70" si="23">2*C$4/BG7</f>
        <v>51.318841890504849</v>
      </c>
      <c r="BI7" s="118">
        <f t="shared" ref="BI7:BI70" si="24">K$1+BH7^(2)*K$2</f>
        <v>165.41893127075869</v>
      </c>
      <c r="BJ7" s="118">
        <f t="shared" ref="BJ7:BJ70" si="25">0.5*BG7*BI7</f>
        <v>4629364.8959337799</v>
      </c>
      <c r="BK7" s="118">
        <f>EDisponible!I20</f>
        <v>6.703923488221479E-2</v>
      </c>
      <c r="BL7" s="118">
        <f>BK7-0.8</f>
        <v>-0.7329607651177853</v>
      </c>
      <c r="BM7" s="118">
        <f>IF(BL7&lt;0, 0, 0.00035*(10*BL7/((1/COS(M$1))-0.8))^(3/(1+1/(DATOS!E$6))))</f>
        <v>0</v>
      </c>
      <c r="BN7" s="118">
        <f t="shared" ref="BN7:BN70" si="26">0.5*BG7*(BI7+BM7)</f>
        <v>4629364.8959337799</v>
      </c>
    </row>
    <row r="8" spans="1:66">
      <c r="A8" s="41">
        <f>EDisponible!A21</f>
        <v>25</v>
      </c>
      <c r="B8" s="44"/>
      <c r="C8" s="118">
        <f t="shared" si="0"/>
        <v>275926.27045506856</v>
      </c>
      <c r="D8" s="118">
        <f t="shared" si="1"/>
        <v>10.409982403135245</v>
      </c>
      <c r="E8" s="118">
        <f t="shared" si="2"/>
        <v>6.819205535470128</v>
      </c>
      <c r="F8" s="118">
        <f t="shared" si="3"/>
        <v>940798.97543441562</v>
      </c>
      <c r="G8" s="118">
        <f>EDisponible!B21</f>
        <v>7.3205273037713944E-2</v>
      </c>
      <c r="H8" s="118">
        <f t="shared" ref="H8:H71" si="27">G8-0.8</f>
        <v>-0.72679472696228609</v>
      </c>
      <c r="I8" s="118">
        <f>IF(H8&lt;0, 0, 0.00035*(10*H8/((1/COS(M$1))-0.8))^(3/(1+1/(DATOS!E$6))))</f>
        <v>0</v>
      </c>
      <c r="J8" s="118">
        <f t="shared" ref="J8:J71" si="28">0.5*C8*(E8+I8)</f>
        <v>940798.97543441562</v>
      </c>
      <c r="K8" s="118">
        <f t="shared" ref="K8:K71" si="29">M$5*A8^2*K$3</f>
        <v>238362.72623303268</v>
      </c>
      <c r="L8" s="11">
        <f t="shared" si="4"/>
        <v>12.050489878991575</v>
      </c>
      <c r="M8" s="118">
        <f t="shared" si="5"/>
        <v>9.1333696389405628</v>
      </c>
      <c r="N8" s="118">
        <f t="shared" si="6"/>
        <v>1088527.443415941</v>
      </c>
      <c r="O8" s="118">
        <f>EDisponible!C21</f>
        <v>7.4476123130121072E-2</v>
      </c>
      <c r="P8" s="118">
        <f t="shared" ref="P8:P71" si="30">O8-0.8</f>
        <v>-0.72552387686987896</v>
      </c>
      <c r="Q8" s="118">
        <f>IF(P8&lt;0, 0, 0.00035*(10*P8/((1/COS(M$1))-0.8))^(3/(1+1/(DATOS!E$6))))</f>
        <v>0</v>
      </c>
      <c r="R8" s="118">
        <f t="shared" ref="R8:R71" si="31">0.5*K8*(M8+Q8)</f>
        <v>1088527.443415941</v>
      </c>
      <c r="S8" s="118">
        <f t="shared" ref="S8:S71" si="32">U$5*A8^2*K$3</f>
        <v>204842.60495354063</v>
      </c>
      <c r="T8" s="118">
        <f t="shared" si="7"/>
        <v>14.022413065150547</v>
      </c>
      <c r="U8" s="118">
        <f t="shared" si="8"/>
        <v>12.362432029333322</v>
      </c>
      <c r="V8" s="118">
        <f t="shared" si="9"/>
        <v>1266176.3902248617</v>
      </c>
      <c r="W8" s="118">
        <f>EDisponible!D21</f>
        <v>7.5815543785656206E-2</v>
      </c>
      <c r="X8" s="118">
        <f t="shared" ref="X8:X71" si="33">W8-0.8</f>
        <v>-0.7241844562143438</v>
      </c>
      <c r="Y8" s="118">
        <f>IF(X8&lt;0, 0, 0.00035*(10*X8/((1/COS(M$1))-0.8))^(3/(1+1/(DATOS!E$6))))</f>
        <v>0</v>
      </c>
      <c r="Z8" s="118">
        <f t="shared" ref="Z8:Z71" si="34">0.5*S8*(U8+Y8)</f>
        <v>1266176.3902248617</v>
      </c>
      <c r="AA8" s="118">
        <f t="shared" ref="AA8:AA71" si="35">AC$5*A8^2*K$3</f>
        <v>175053.86741047175</v>
      </c>
      <c r="AB8" s="118">
        <f t="shared" si="10"/>
        <v>16.408592751994085</v>
      </c>
      <c r="AC8" s="118">
        <f t="shared" si="11"/>
        <v>16.922974517513417</v>
      </c>
      <c r="AD8" s="118">
        <f t="shared" ref="AD8:AD71" si="36">0.5*AA8*AC8</f>
        <v>1481216.0686897929</v>
      </c>
      <c r="AE8" s="118">
        <f>EDisponible!E21</f>
        <v>7.7229931835948409E-2</v>
      </c>
      <c r="AF8" s="118">
        <f t="shared" ref="AF8:AF71" si="37">AE8-0.8</f>
        <v>-0.72277006816405165</v>
      </c>
      <c r="AG8" s="118">
        <f>IF(AF8&lt;0, 0, 0.00035*(10*AF8/((1/COS(M$1))-0.8))^(3/(1+1/(DATOS!E$6))))</f>
        <v>0</v>
      </c>
      <c r="AH8" s="118">
        <f t="shared" ref="AH8:AH71" si="38">0.5*AA8*(AC8+AG8)</f>
        <v>1481216.0686897929</v>
      </c>
      <c r="AI8" s="118">
        <f t="shared" ref="AI8:AI71" si="39">AK$5*A8^2*K$3</f>
        <v>148698.3635153505</v>
      </c>
      <c r="AJ8" s="118">
        <f t="shared" si="12"/>
        <v>19.316874457084904</v>
      </c>
      <c r="AK8" s="118">
        <f t="shared" si="13"/>
        <v>23.448439195924266</v>
      </c>
      <c r="AL8" s="118">
        <f t="shared" si="14"/>
        <v>1743372.2677115698</v>
      </c>
      <c r="AM8" s="118">
        <f>EDisponible!F21</f>
        <v>7.8726551999765471E-2</v>
      </c>
      <c r="AN8" s="118">
        <f t="shared" ref="AN8:AN71" si="40">AM8-0.8</f>
        <v>-0.72127344800023452</v>
      </c>
      <c r="AO8" s="118">
        <f>IF(AN8&lt;0, 0, 0.00035*(10*AN8/((1/COS(M$1))-0.8))^(3/(1+1/(DATOS!E$6))))</f>
        <v>0</v>
      </c>
      <c r="AP8" s="118">
        <f t="shared" ref="AP8:AP71" si="41">0.5*AI8*(AK8+AO8)</f>
        <v>1743372.2677115698</v>
      </c>
      <c r="AQ8" s="118">
        <f t="shared" ref="AQ8:AQ71" si="42">AS$5*A8^2*K$3</f>
        <v>125491.70158468296</v>
      </c>
      <c r="AR8" s="118">
        <f t="shared" si="15"/>
        <v>22.889064246703885</v>
      </c>
      <c r="AS8" s="118">
        <f t="shared" si="16"/>
        <v>32.917461586107486</v>
      </c>
      <c r="AT8" s="118">
        <f t="shared" si="17"/>
        <v>2065434.1331445326</v>
      </c>
      <c r="AU8" s="118">
        <f>EDisponible!G21</f>
        <v>8.0313694392046692E-2</v>
      </c>
      <c r="AV8" s="118">
        <f t="shared" ref="AV8:AV71" si="43">AU8-0.8</f>
        <v>-0.71968630560795332</v>
      </c>
      <c r="AW8" s="118">
        <f>IF(AV8&lt;0, 0, 0.00035*(10*AV8/((1/COS(M$1))-0.8))^(3/(1+1/(DATOS!E$6))))</f>
        <v>0</v>
      </c>
      <c r="AX8" s="118">
        <f t="shared" si="18"/>
        <v>2065434.1331445326</v>
      </c>
      <c r="AY8" s="118">
        <f t="shared" ref="AY8:AY71" si="44">BA$5*A8^2*K$3</f>
        <v>105163.11391332943</v>
      </c>
      <c r="AZ8" s="118">
        <f t="shared" si="19"/>
        <v>27.313641761951715</v>
      </c>
      <c r="BA8" s="118">
        <f t="shared" si="20"/>
        <v>46.86816127031652</v>
      </c>
      <c r="BB8" s="118">
        <f t="shared" si="21"/>
        <v>2464400.8912892956</v>
      </c>
      <c r="BC8" s="118">
        <f>EDisponible!H21</f>
        <v>8.2000868441861108E-2</v>
      </c>
      <c r="BD8" s="118">
        <f t="shared" ref="BD8:BD71" si="45">BC8-0.8</f>
        <v>-0.71799913155813888</v>
      </c>
      <c r="BE8" s="118">
        <f>IF(BD8&lt;0, 0, 0.00035*(10*BD8/((1/COS(M$1))-0.8))^(3/(1+1/(DATOS!E$6))))</f>
        <v>0</v>
      </c>
      <c r="BF8" s="118">
        <f t="shared" si="22"/>
        <v>2464400.8912892956</v>
      </c>
      <c r="BG8" s="118">
        <f t="shared" ref="BG8:BG71" si="46">BI$5*A8^2*K$3</f>
        <v>87455.318376551324</v>
      </c>
      <c r="BH8" s="118">
        <f t="shared" si="23"/>
        <v>32.844058809923098</v>
      </c>
      <c r="BI8" s="118">
        <f t="shared" si="24"/>
        <v>67.763343601582562</v>
      </c>
      <c r="BJ8" s="118">
        <f t="shared" si="25"/>
        <v>2963132.3944680225</v>
      </c>
      <c r="BK8" s="118">
        <f>EDisponible!I21</f>
        <v>8.3799043602768478E-2</v>
      </c>
      <c r="BL8" s="118">
        <f t="shared" ref="BL8:BL71" si="47">BK8-0.8</f>
        <v>-0.71620095639723158</v>
      </c>
      <c r="BM8" s="118">
        <f>IF(BL8&lt;0, 0, 0.00035*(10*BL8/((1/COS(M$1))-0.8))^(3/(1+1/(DATOS!E$6))))</f>
        <v>0</v>
      </c>
      <c r="BN8" s="118">
        <f t="shared" si="26"/>
        <v>2963132.3944680225</v>
      </c>
    </row>
    <row r="9" spans="1:66">
      <c r="A9" s="41">
        <f>EDisponible!A22</f>
        <v>30</v>
      </c>
      <c r="B9" s="44"/>
      <c r="C9" s="118">
        <f t="shared" si="0"/>
        <v>397333.82945529872</v>
      </c>
      <c r="D9" s="118">
        <f t="shared" si="1"/>
        <v>7.2291544466216981</v>
      </c>
      <c r="E9" s="118">
        <f t="shared" si="2"/>
        <v>3.2953786542826125</v>
      </c>
      <c r="F9" s="118">
        <f t="shared" si="3"/>
        <v>654682.7101056797</v>
      </c>
      <c r="G9" s="118">
        <f>EDisponible!B22</f>
        <v>8.7846327645256725E-2</v>
      </c>
      <c r="H9" s="118">
        <f t="shared" si="27"/>
        <v>-0.71215367235474336</v>
      </c>
      <c r="I9" s="118">
        <f>IF(H9&lt;0, 0, 0.00035*(10*H9/((1/COS(M$1))-0.8))^(3/(1+1/(DATOS!E$6))))</f>
        <v>0</v>
      </c>
      <c r="J9" s="118">
        <f t="shared" si="28"/>
        <v>654682.7101056797</v>
      </c>
      <c r="K9" s="118">
        <f t="shared" si="29"/>
        <v>343242.32577556703</v>
      </c>
      <c r="L9" s="11">
        <f t="shared" si="4"/>
        <v>8.3683957492997063</v>
      </c>
      <c r="M9" s="118">
        <f t="shared" si="5"/>
        <v>4.4113914356630319</v>
      </c>
      <c r="N9" s="118">
        <f t="shared" si="6"/>
        <v>757088.12814169843</v>
      </c>
      <c r="O9" s="118">
        <f>EDisponible!C22</f>
        <v>8.9371347756145275E-2</v>
      </c>
      <c r="P9" s="118">
        <f t="shared" si="30"/>
        <v>-0.71062865224385474</v>
      </c>
      <c r="Q9" s="118">
        <f>IF(P9&lt;0, 0, 0.00035*(10*P9/((1/COS(M$1))-0.8))^(3/(1+1/(DATOS!E$6))))</f>
        <v>0</v>
      </c>
      <c r="R9" s="118">
        <f t="shared" si="31"/>
        <v>757088.12814169843</v>
      </c>
      <c r="S9" s="118">
        <f t="shared" si="32"/>
        <v>294973.35113309853</v>
      </c>
      <c r="T9" s="118">
        <f t="shared" si="7"/>
        <v>9.7377868507989902</v>
      </c>
      <c r="U9" s="118">
        <f t="shared" si="8"/>
        <v>5.9686167396718837</v>
      </c>
      <c r="V9" s="118">
        <f t="shared" si="9"/>
        <v>880291.44066506217</v>
      </c>
      <c r="W9" s="118">
        <f>EDisponible!D22</f>
        <v>9.0978652542787447E-2</v>
      </c>
      <c r="X9" s="118">
        <f t="shared" si="33"/>
        <v>-0.70902134745721257</v>
      </c>
      <c r="Y9" s="118">
        <f>IF(X9&lt;0, 0, 0.00035*(10*X9/((1/COS(M$1))-0.8))^(3/(1+1/(DATOS!E$6))))</f>
        <v>0</v>
      </c>
      <c r="Z9" s="118">
        <f t="shared" si="34"/>
        <v>880291.44066506217</v>
      </c>
      <c r="AA9" s="118">
        <f t="shared" si="35"/>
        <v>252077.56907107931</v>
      </c>
      <c r="AB9" s="118">
        <f t="shared" si="10"/>
        <v>11.394856077773669</v>
      </c>
      <c r="AC9" s="118">
        <f t="shared" si="11"/>
        <v>8.1679524303451529</v>
      </c>
      <c r="AD9" s="118">
        <f t="shared" si="36"/>
        <v>1029478.7964648103</v>
      </c>
      <c r="AE9" s="118">
        <f>EDisponible!E22</f>
        <v>9.26759182031381E-2</v>
      </c>
      <c r="AF9" s="118">
        <f t="shared" si="37"/>
        <v>-0.7073240817968619</v>
      </c>
      <c r="AG9" s="118">
        <f>IF(AF9&lt;0, 0, 0.00035*(10*AF9/((1/COS(M$1))-0.8))^(3/(1+1/(DATOS!E$6))))</f>
        <v>0</v>
      </c>
      <c r="AH9" s="118">
        <f t="shared" si="38"/>
        <v>1029478.7964648103</v>
      </c>
      <c r="AI9" s="118">
        <f t="shared" si="39"/>
        <v>214125.64346210472</v>
      </c>
      <c r="AJ9" s="118">
        <f t="shared" si="12"/>
        <v>13.414496150753406</v>
      </c>
      <c r="AK9" s="118">
        <f t="shared" si="13"/>
        <v>11.314877911831868</v>
      </c>
      <c r="AL9" s="118">
        <f t="shared" si="14"/>
        <v>1211402.7567830773</v>
      </c>
      <c r="AM9" s="118">
        <f>EDisponible!F22</f>
        <v>9.4471862399718567E-2</v>
      </c>
      <c r="AN9" s="118">
        <f t="shared" si="40"/>
        <v>-0.70552813760028144</v>
      </c>
      <c r="AO9" s="118">
        <f>IF(AN9&lt;0, 0, 0.00035*(10*AN9/((1/COS(M$1))-0.8))^(3/(1+1/(DATOS!E$6))))</f>
        <v>0</v>
      </c>
      <c r="AP9" s="118">
        <f t="shared" si="41"/>
        <v>1211402.7567830773</v>
      </c>
      <c r="AQ9" s="118">
        <f t="shared" si="42"/>
        <v>180708.05028194346</v>
      </c>
      <c r="AR9" s="118">
        <f t="shared" si="15"/>
        <v>15.895183504655476</v>
      </c>
      <c r="AS9" s="118">
        <f t="shared" si="16"/>
        <v>15.881343184875472</v>
      </c>
      <c r="AT9" s="118">
        <f t="shared" si="17"/>
        <v>1434943.2813986386</v>
      </c>
      <c r="AU9" s="118">
        <f>EDisponible!G22</f>
        <v>9.637643327045603E-2</v>
      </c>
      <c r="AV9" s="118">
        <f t="shared" si="43"/>
        <v>-0.70362356672954407</v>
      </c>
      <c r="AW9" s="118">
        <f>IF(AV9&lt;0, 0, 0.00035*(10*AV9/((1/COS(M$1))-0.8))^(3/(1+1/(DATOS!E$6))))</f>
        <v>0</v>
      </c>
      <c r="AX9" s="118">
        <f t="shared" si="18"/>
        <v>1434943.2813986386</v>
      </c>
      <c r="AY9" s="118">
        <f t="shared" si="44"/>
        <v>151434.88403519441</v>
      </c>
      <c r="AZ9" s="118">
        <f t="shared" si="19"/>
        <v>18.967806779133131</v>
      </c>
      <c r="BA9" s="118">
        <f t="shared" si="20"/>
        <v>22.609111165300348</v>
      </c>
      <c r="BB9" s="118">
        <f t="shared" si="21"/>
        <v>1711904.0637280387</v>
      </c>
      <c r="BC9" s="118">
        <f>EDisponible!H22</f>
        <v>9.8401042130233332E-2</v>
      </c>
      <c r="BD9" s="118">
        <f t="shared" si="45"/>
        <v>-0.70159895786976667</v>
      </c>
      <c r="BE9" s="118">
        <f>IF(BD9&lt;0, 0, 0.00035*(10*BD9/((1/COS(M$1))-0.8))^(3/(1+1/(DATOS!E$6))))</f>
        <v>0</v>
      </c>
      <c r="BF9" s="118">
        <f t="shared" si="22"/>
        <v>1711904.0637280387</v>
      </c>
      <c r="BG9" s="118">
        <f t="shared" si="46"/>
        <v>125935.65846223389</v>
      </c>
      <c r="BH9" s="118">
        <f t="shared" si="23"/>
        <v>22.808374173557713</v>
      </c>
      <c r="BI9" s="118">
        <f t="shared" si="24"/>
        <v>32.685877335856908</v>
      </c>
      <c r="BJ9" s="118">
        <f t="shared" si="25"/>
        <v>2058158.7423534733</v>
      </c>
      <c r="BK9" s="118">
        <f>EDisponible!I22</f>
        <v>0.10055885232332218</v>
      </c>
      <c r="BL9" s="118">
        <f t="shared" si="47"/>
        <v>-0.69944114767667787</v>
      </c>
      <c r="BM9" s="118">
        <f>IF(BL9&lt;0, 0, 0.00035*(10*BL9/((1/COS(M$1))-0.8))^(3/(1+1/(DATOS!E$6))))</f>
        <v>0</v>
      </c>
      <c r="BN9" s="118">
        <f t="shared" si="26"/>
        <v>2058158.7423534733</v>
      </c>
    </row>
    <row r="10" spans="1:66">
      <c r="A10" s="41">
        <f>EDisponible!A23</f>
        <v>35</v>
      </c>
      <c r="B10" s="44"/>
      <c r="C10" s="118">
        <f t="shared" si="0"/>
        <v>540815.49009193445</v>
      </c>
      <c r="D10" s="118">
        <f t="shared" si="1"/>
        <v>5.3112155118036952</v>
      </c>
      <c r="E10" s="118">
        <f t="shared" si="2"/>
        <v>1.7848040490540853</v>
      </c>
      <c r="F10" s="118">
        <f t="shared" si="3"/>
        <v>482624.83825362707</v>
      </c>
      <c r="G10" s="118">
        <f>EDisponible!B23</f>
        <v>0.10248738225279952</v>
      </c>
      <c r="H10" s="118">
        <f t="shared" si="27"/>
        <v>-0.69751261774720053</v>
      </c>
      <c r="I10" s="118">
        <f>IF(H10&lt;0, 0, 0.00035*(10*H10/((1/COS(M$1))-0.8))^(3/(1+1/(DATOS!E$6))))</f>
        <v>0</v>
      </c>
      <c r="J10" s="118">
        <f t="shared" si="28"/>
        <v>482624.83825362707</v>
      </c>
      <c r="K10" s="118">
        <f t="shared" si="29"/>
        <v>467190.94341674406</v>
      </c>
      <c r="L10" s="11">
        <f t="shared" si="4"/>
        <v>6.1482091219344772</v>
      </c>
      <c r="M10" s="118">
        <f t="shared" si="5"/>
        <v>2.3871999527063235</v>
      </c>
      <c r="N10" s="118">
        <f t="shared" si="6"/>
        <v>557639.09901463706</v>
      </c>
      <c r="O10" s="118">
        <f>EDisponible!C23</f>
        <v>0.10426657238216949</v>
      </c>
      <c r="P10" s="118">
        <f t="shared" si="30"/>
        <v>-0.69573342761783052</v>
      </c>
      <c r="Q10" s="118">
        <f>IF(P10&lt;0, 0, 0.00035*(10*P10/((1/COS(M$1))-0.8))^(3/(1+1/(DATOS!E$6))))</f>
        <v>0</v>
      </c>
      <c r="R10" s="118">
        <f t="shared" si="31"/>
        <v>557639.09901463706</v>
      </c>
      <c r="S10" s="118">
        <f t="shared" si="32"/>
        <v>401491.50570893969</v>
      </c>
      <c r="T10" s="118">
        <f t="shared" si="7"/>
        <v>7.1542923801788492</v>
      </c>
      <c r="U10" s="118">
        <f t="shared" si="8"/>
        <v>3.2277513871067702</v>
      </c>
      <c r="V10" s="118">
        <f t="shared" si="9"/>
        <v>647957.38223180792</v>
      </c>
      <c r="W10" s="118">
        <f>EDisponible!D23</f>
        <v>0.10614176129991869</v>
      </c>
      <c r="X10" s="118">
        <f t="shared" si="33"/>
        <v>-0.69385823870008134</v>
      </c>
      <c r="Y10" s="118">
        <f>IF(X10&lt;0, 0, 0.00035*(10*X10/((1/COS(M$1))-0.8))^(3/(1+1/(DATOS!E$6))))</f>
        <v>0</v>
      </c>
      <c r="Z10" s="118">
        <f t="shared" si="34"/>
        <v>647957.38223180792</v>
      </c>
      <c r="AA10" s="118">
        <f t="shared" si="35"/>
        <v>343105.58012452465</v>
      </c>
      <c r="AB10" s="118">
        <f t="shared" si="10"/>
        <v>8.3717309959153479</v>
      </c>
      <c r="AC10" s="118">
        <f t="shared" si="11"/>
        <v>4.4148980156417785</v>
      </c>
      <c r="AD10" s="118">
        <f t="shared" si="36"/>
        <v>757388.07242369256</v>
      </c>
      <c r="AE10" s="118">
        <f>EDisponible!E23</f>
        <v>0.10812190457032778</v>
      </c>
      <c r="AF10" s="118">
        <f t="shared" si="37"/>
        <v>-0.69187809542967227</v>
      </c>
      <c r="AG10" s="118">
        <f>IF(AF10&lt;0, 0, 0.00035*(10*AF10/((1/COS(M$1))-0.8))^(3/(1+1/(DATOS!E$6))))</f>
        <v>0</v>
      </c>
      <c r="AH10" s="118">
        <f t="shared" si="38"/>
        <v>757388.07242369256</v>
      </c>
      <c r="AI10" s="118">
        <f t="shared" si="39"/>
        <v>291448.79249008698</v>
      </c>
      <c r="AJ10" s="118">
        <f t="shared" si="12"/>
        <v>9.8555481923902573</v>
      </c>
      <c r="AK10" s="118">
        <f t="shared" si="13"/>
        <v>6.1135300123126584</v>
      </c>
      <c r="AL10" s="118">
        <f t="shared" si="14"/>
        <v>890890.46997021546</v>
      </c>
      <c r="AM10" s="118">
        <f>EDisponible!F23</f>
        <v>0.11021717279967166</v>
      </c>
      <c r="AN10" s="118">
        <f t="shared" si="40"/>
        <v>-0.68978282720032835</v>
      </c>
      <c r="AO10" s="118">
        <f>IF(AN10&lt;0, 0, 0.00035*(10*AN10/((1/COS(M$1))-0.8))^(3/(1+1/(DATOS!E$6))))</f>
        <v>0</v>
      </c>
      <c r="AP10" s="118">
        <f t="shared" si="41"/>
        <v>890890.46997021546</v>
      </c>
      <c r="AQ10" s="118">
        <f t="shared" si="42"/>
        <v>245963.73510597859</v>
      </c>
      <c r="AR10" s="118">
        <f t="shared" si="15"/>
        <v>11.67809400342035</v>
      </c>
      <c r="AS10" s="118">
        <f t="shared" si="16"/>
        <v>8.5783942329975869</v>
      </c>
      <c r="AT10" s="118">
        <f t="shared" si="17"/>
        <v>1054986.9433798364</v>
      </c>
      <c r="AU10" s="118">
        <f>EDisponible!G23</f>
        <v>0.11243917214886537</v>
      </c>
      <c r="AV10" s="118">
        <f t="shared" si="43"/>
        <v>-0.6875608278511347</v>
      </c>
      <c r="AW10" s="118">
        <f>IF(AV10&lt;0, 0, 0.00035*(10*AV10/((1/COS(M$1))-0.8))^(3/(1+1/(DATOS!E$6))))</f>
        <v>0</v>
      </c>
      <c r="AX10" s="118">
        <f t="shared" si="18"/>
        <v>1054986.9433798364</v>
      </c>
      <c r="AY10" s="118">
        <f t="shared" si="44"/>
        <v>206119.7032701257</v>
      </c>
      <c r="AZ10" s="118">
        <f t="shared" si="19"/>
        <v>13.935531511199853</v>
      </c>
      <c r="BA10" s="118">
        <f t="shared" si="20"/>
        <v>12.209875825096981</v>
      </c>
      <c r="BB10" s="118">
        <f t="shared" si="21"/>
        <v>1258347.9910170354</v>
      </c>
      <c r="BC10" s="118">
        <f>EDisponible!H23</f>
        <v>0.11480121581860556</v>
      </c>
      <c r="BD10" s="118">
        <f t="shared" si="45"/>
        <v>-0.68519878418139446</v>
      </c>
      <c r="BE10" s="118">
        <f>IF(BD10&lt;0, 0, 0.00035*(10*BD10/((1/COS(M$1))-0.8))^(3/(1+1/(DATOS!E$6))))</f>
        <v>0</v>
      </c>
      <c r="BF10" s="118">
        <f t="shared" si="22"/>
        <v>1258347.9910170354</v>
      </c>
      <c r="BG10" s="118">
        <f t="shared" si="46"/>
        <v>171412.42401804059</v>
      </c>
      <c r="BH10" s="118">
        <f t="shared" si="23"/>
        <v>16.757172862205664</v>
      </c>
      <c r="BI10" s="118">
        <f t="shared" si="24"/>
        <v>17.64906322911251</v>
      </c>
      <c r="BJ10" s="118">
        <f t="shared" si="25"/>
        <v>1512634.354874921</v>
      </c>
      <c r="BK10" s="118">
        <f>EDisponible!I23</f>
        <v>0.11731866104387588</v>
      </c>
      <c r="BL10" s="118">
        <f t="shared" si="47"/>
        <v>-0.68268133895612415</v>
      </c>
      <c r="BM10" s="118">
        <f>IF(BL10&lt;0, 0, 0.00035*(10*BL10/((1/COS(M$1))-0.8))^(3/(1+1/(DATOS!E$6))))</f>
        <v>0</v>
      </c>
      <c r="BN10" s="118">
        <f t="shared" si="26"/>
        <v>1512634.354874921</v>
      </c>
    </row>
    <row r="11" spans="1:66">
      <c r="A11" s="41">
        <f>EDisponible!A24</f>
        <v>40</v>
      </c>
      <c r="B11" s="44"/>
      <c r="C11" s="118">
        <f t="shared" si="0"/>
        <v>706371.25236497552</v>
      </c>
      <c r="D11" s="118">
        <f t="shared" si="1"/>
        <v>4.0663993762247053</v>
      </c>
      <c r="E11" s="118">
        <f t="shared" si="2"/>
        <v>1.0516509791132966</v>
      </c>
      <c r="F11" s="118">
        <f t="shared" si="3"/>
        <v>371428.00958355604</v>
      </c>
      <c r="G11" s="118">
        <f>EDisponible!B24</f>
        <v>0.11712843686034231</v>
      </c>
      <c r="H11" s="118">
        <f t="shared" si="27"/>
        <v>-0.68287156313965769</v>
      </c>
      <c r="I11" s="118">
        <f>IF(H11&lt;0, 0, 0.00035*(10*H11/((1/COS(M$1))-0.8))^(3/(1+1/(DATOS!E$6))))</f>
        <v>0</v>
      </c>
      <c r="J11" s="118">
        <f t="shared" si="28"/>
        <v>371428.00958355604</v>
      </c>
      <c r="K11" s="118">
        <f>M$5*A11^2*K$3</f>
        <v>610208.57915656362</v>
      </c>
      <c r="L11" s="11">
        <f t="shared" si="4"/>
        <v>4.7072226089810849</v>
      </c>
      <c r="M11" s="118">
        <f t="shared" si="5"/>
        <v>1.4047643982219451</v>
      </c>
      <c r="N11" s="118">
        <f t="shared" si="6"/>
        <v>428599.6437443691</v>
      </c>
      <c r="O11" s="118">
        <f>EDisponible!C24</f>
        <v>0.11916179700819371</v>
      </c>
      <c r="P11" s="118">
        <f t="shared" si="30"/>
        <v>-0.68083820299180631</v>
      </c>
      <c r="Q11" s="118">
        <f>IF(P11&lt;0, 0, 0.00035*(10*P11/((1/COS(M$1))-0.8))^(3/(1+1/(DATOS!E$6))))</f>
        <v>0</v>
      </c>
      <c r="R11" s="118">
        <f t="shared" si="31"/>
        <v>428599.6437443691</v>
      </c>
      <c r="S11" s="118">
        <f t="shared" si="32"/>
        <v>524397.06868106406</v>
      </c>
      <c r="T11" s="118">
        <f t="shared" si="7"/>
        <v>5.4775051035744315</v>
      </c>
      <c r="U11" s="118">
        <f t="shared" si="8"/>
        <v>1.8974802170684957</v>
      </c>
      <c r="V11" s="118">
        <f t="shared" si="9"/>
        <v>497516.53185551416</v>
      </c>
      <c r="W11" s="118">
        <f>EDisponible!D24</f>
        <v>0.12130487005704993</v>
      </c>
      <c r="X11" s="118">
        <f t="shared" si="33"/>
        <v>-0.67869512994295011</v>
      </c>
      <c r="Y11" s="118">
        <f>IF(X11&lt;0, 0, 0.00035*(10*X11/((1/COS(M$1))-0.8))^(3/(1+1/(DATOS!E$6))))</f>
        <v>0</v>
      </c>
      <c r="Z11" s="118">
        <f t="shared" si="34"/>
        <v>497516.53185551416</v>
      </c>
      <c r="AA11" s="118">
        <f t="shared" si="35"/>
        <v>448137.90057080769</v>
      </c>
      <c r="AB11" s="118">
        <f t="shared" si="10"/>
        <v>6.4096065437476888</v>
      </c>
      <c r="AC11" s="118">
        <f t="shared" si="11"/>
        <v>2.5933637754455847</v>
      </c>
      <c r="AD11" s="118">
        <f t="shared" si="36"/>
        <v>581092.29887228389</v>
      </c>
      <c r="AE11" s="118">
        <f>EDisponible!E24</f>
        <v>0.12356789093751747</v>
      </c>
      <c r="AF11" s="118">
        <f t="shared" si="37"/>
        <v>-0.67643210906248252</v>
      </c>
      <c r="AG11" s="118">
        <f>IF(AF11&lt;0, 0, 0.00035*(10*AF11/((1/COS(M$1))-0.8))^(3/(1+1/(DATOS!E$6))))</f>
        <v>0</v>
      </c>
      <c r="AH11" s="118">
        <f t="shared" si="38"/>
        <v>581092.29887228389</v>
      </c>
      <c r="AI11" s="118">
        <f t="shared" si="39"/>
        <v>380667.81059929729</v>
      </c>
      <c r="AJ11" s="118">
        <f t="shared" si="12"/>
        <v>7.545654084798791</v>
      </c>
      <c r="AK11" s="118">
        <f t="shared" si="13"/>
        <v>3.5890706660722409</v>
      </c>
      <c r="AL11" s="118">
        <f t="shared" si="14"/>
        <v>683121.83626994083</v>
      </c>
      <c r="AM11" s="118">
        <f>EDisponible!F24</f>
        <v>0.12596248319962475</v>
      </c>
      <c r="AN11" s="118">
        <f t="shared" si="40"/>
        <v>-0.67403751680037527</v>
      </c>
      <c r="AO11" s="118">
        <f>IF(AN11&lt;0, 0, 0.00035*(10*AN11/((1/COS(M$1))-0.8))^(3/(1+1/(DATOS!E$6))))</f>
        <v>0</v>
      </c>
      <c r="AP11" s="118">
        <f t="shared" si="41"/>
        <v>683121.83626994083</v>
      </c>
      <c r="AQ11" s="118">
        <f t="shared" si="42"/>
        <v>321258.75605678838</v>
      </c>
      <c r="AR11" s="118">
        <f t="shared" si="15"/>
        <v>8.9410407213687062</v>
      </c>
      <c r="AS11" s="118">
        <f t="shared" si="16"/>
        <v>5.0339288188711953</v>
      </c>
      <c r="AT11" s="118">
        <f t="shared" si="17"/>
        <v>808596.85521448904</v>
      </c>
      <c r="AU11" s="118">
        <f>EDisponible!G24</f>
        <v>0.12850191102727471</v>
      </c>
      <c r="AV11" s="118">
        <f t="shared" si="43"/>
        <v>-0.67149808897272534</v>
      </c>
      <c r="AW11" s="118">
        <f>IF(AV11&lt;0, 0, 0.00035*(10*AV11/((1/COS(M$1))-0.8))^(3/(1+1/(DATOS!E$6))))</f>
        <v>0</v>
      </c>
      <c r="AX11" s="118">
        <f t="shared" si="18"/>
        <v>808596.85521448904</v>
      </c>
      <c r="AY11" s="118">
        <f t="shared" si="44"/>
        <v>269217.57161812339</v>
      </c>
      <c r="AZ11" s="118">
        <f t="shared" si="19"/>
        <v>10.669391313262386</v>
      </c>
      <c r="BA11" s="118">
        <f t="shared" si="20"/>
        <v>7.1626366564275008</v>
      </c>
      <c r="BB11" s="118">
        <f t="shared" si="21"/>
        <v>964153.82351318328</v>
      </c>
      <c r="BC11" s="118">
        <f>EDisponible!H24</f>
        <v>0.13120138950697777</v>
      </c>
      <c r="BD11" s="118">
        <f t="shared" si="45"/>
        <v>-0.66879861049302225</v>
      </c>
      <c r="BE11" s="118">
        <f>IF(BD11&lt;0, 0, 0.00035*(10*BD11/((1/COS(M$1))-0.8))^(3/(1+1/(DATOS!E$6))))</f>
        <v>0</v>
      </c>
      <c r="BF11" s="118">
        <f t="shared" si="22"/>
        <v>964153.82351318328</v>
      </c>
      <c r="BG11" s="118">
        <f t="shared" si="46"/>
        <v>223885.61504397137</v>
      </c>
      <c r="BH11" s="118">
        <f t="shared" si="23"/>
        <v>12.829710472626212</v>
      </c>
      <c r="BI11" s="118">
        <f t="shared" si="24"/>
        <v>10.350988452580163</v>
      </c>
      <c r="BJ11" s="118">
        <f t="shared" si="25"/>
        <v>1158718.7080094777</v>
      </c>
      <c r="BK11" s="118">
        <f>EDisponible!I24</f>
        <v>0.13407846976442958</v>
      </c>
      <c r="BL11" s="118">
        <f t="shared" si="47"/>
        <v>-0.66592153023557044</v>
      </c>
      <c r="BM11" s="118">
        <f>IF(BL11&lt;0, 0, 0.00035*(10*BL11/((1/COS(M$1))-0.8))^(3/(1+1/(DATOS!E$6))))</f>
        <v>0</v>
      </c>
      <c r="BN11" s="118">
        <f t="shared" si="26"/>
        <v>1158718.7080094777</v>
      </c>
    </row>
    <row r="12" spans="1:66">
      <c r="A12" s="41">
        <f>EDisponible!A25</f>
        <v>45</v>
      </c>
      <c r="B12" s="44"/>
      <c r="C12" s="118">
        <f t="shared" si="0"/>
        <v>894001.11627442215</v>
      </c>
      <c r="D12" s="118">
        <f t="shared" si="1"/>
        <v>3.2129575318318655</v>
      </c>
      <c r="E12" s="118">
        <f t="shared" si="2"/>
        <v>0.66147188075051944</v>
      </c>
      <c r="F12" s="118">
        <f t="shared" si="3"/>
        <v>295678.29988755292</v>
      </c>
      <c r="G12" s="118">
        <f>EDisponible!B25</f>
        <v>0.13176949146788511</v>
      </c>
      <c r="H12" s="118">
        <f t="shared" si="27"/>
        <v>-0.66823050853211496</v>
      </c>
      <c r="I12" s="118">
        <f>IF(H12&lt;0, 0, 0.00035*(10*H12/((1/COS(M$1))-0.8))^(3/(1+1/(DATOS!E$6))))</f>
        <v>0</v>
      </c>
      <c r="J12" s="118">
        <f t="shared" si="28"/>
        <v>295678.29988755292</v>
      </c>
      <c r="K12" s="118">
        <f t="shared" si="29"/>
        <v>772295.2329950257</v>
      </c>
      <c r="L12" s="11">
        <f t="shared" si="4"/>
        <v>3.7192869996887588</v>
      </c>
      <c r="M12" s="118">
        <f t="shared" si="5"/>
        <v>0.88191884991208414</v>
      </c>
      <c r="N12" s="118">
        <f t="shared" si="6"/>
        <v>340550.86183777906</v>
      </c>
      <c r="O12" s="118">
        <f>EDisponible!C25</f>
        <v>0.13405702163421793</v>
      </c>
      <c r="P12" s="118">
        <f t="shared" si="30"/>
        <v>-0.66594297836578209</v>
      </c>
      <c r="Q12" s="118">
        <f>IF(P12&lt;0, 0, 0.00035*(10*P12/((1/COS(M$1))-0.8))^(3/(1+1/(DATOS!E$6))))</f>
        <v>0</v>
      </c>
      <c r="R12" s="118">
        <f t="shared" si="31"/>
        <v>340550.86183777906</v>
      </c>
      <c r="S12" s="118">
        <f t="shared" si="32"/>
        <v>663690.04004947166</v>
      </c>
      <c r="T12" s="118">
        <f t="shared" si="7"/>
        <v>4.327905267021773</v>
      </c>
      <c r="U12" s="118">
        <f t="shared" si="8"/>
        <v>1.1895189099632151</v>
      </c>
      <c r="V12" s="118">
        <f t="shared" si="9"/>
        <v>394735.92649654503</v>
      </c>
      <c r="W12" s="118">
        <f>EDisponible!D25</f>
        <v>0.13646797881418118</v>
      </c>
      <c r="X12" s="118">
        <f t="shared" si="33"/>
        <v>-0.66353202118581889</v>
      </c>
      <c r="Y12" s="118">
        <f>IF(X12&lt;0, 0, 0.00035*(10*X12/((1/COS(M$1))-0.8))^(3/(1+1/(DATOS!E$6))))</f>
        <v>0</v>
      </c>
      <c r="Z12" s="118">
        <f t="shared" si="34"/>
        <v>394735.92649654503</v>
      </c>
      <c r="AA12" s="118">
        <f t="shared" si="35"/>
        <v>567174.53040992853</v>
      </c>
      <c r="AB12" s="118">
        <f t="shared" si="10"/>
        <v>5.0643804790105191</v>
      </c>
      <c r="AC12" s="118">
        <f t="shared" si="11"/>
        <v>1.623955589602379</v>
      </c>
      <c r="AD12" s="118">
        <f t="shared" si="36"/>
        <v>460533.12446965394</v>
      </c>
      <c r="AE12" s="118">
        <f>EDisponible!E25</f>
        <v>0.13901387730470716</v>
      </c>
      <c r="AF12" s="118">
        <f t="shared" si="37"/>
        <v>-0.66098612269529289</v>
      </c>
      <c r="AG12" s="118">
        <f>IF(AF12&lt;0, 0, 0.00035*(10*AF12/((1/COS(M$1))-0.8))^(3/(1+1/(DATOS!E$6))))</f>
        <v>0</v>
      </c>
      <c r="AH12" s="118">
        <f t="shared" si="38"/>
        <v>460533.12446965394</v>
      </c>
      <c r="AI12" s="118">
        <f t="shared" si="39"/>
        <v>481782.69778973563</v>
      </c>
      <c r="AJ12" s="118">
        <f t="shared" si="12"/>
        <v>5.961998289223736</v>
      </c>
      <c r="AK12" s="118">
        <f t="shared" si="13"/>
        <v>2.2455704995256811</v>
      </c>
      <c r="AL12" s="118">
        <f t="shared" si="14"/>
        <v>540938.50666926347</v>
      </c>
      <c r="AM12" s="118">
        <f>EDisponible!F25</f>
        <v>0.14170779359957786</v>
      </c>
      <c r="AN12" s="118">
        <f t="shared" si="40"/>
        <v>-0.65829220640042219</v>
      </c>
      <c r="AO12" s="118">
        <f>IF(AN12&lt;0, 0, 0.00035*(10*AN12/((1/COS(M$1))-0.8))^(3/(1+1/(DATOS!E$6))))</f>
        <v>0</v>
      </c>
      <c r="AP12" s="118">
        <f t="shared" si="41"/>
        <v>540938.50666926347</v>
      </c>
      <c r="AQ12" s="118">
        <f t="shared" si="42"/>
        <v>406593.1131343728</v>
      </c>
      <c r="AR12" s="118">
        <f t="shared" si="15"/>
        <v>7.0645260020691003</v>
      </c>
      <c r="AS12" s="118">
        <f t="shared" si="16"/>
        <v>3.1475883312379982</v>
      </c>
      <c r="AT12" s="118">
        <f t="shared" si="17"/>
        <v>639893.86923174153</v>
      </c>
      <c r="AU12" s="118">
        <f>EDisponible!G25</f>
        <v>0.14456464990568405</v>
      </c>
      <c r="AV12" s="118">
        <f t="shared" si="43"/>
        <v>-0.65543535009431597</v>
      </c>
      <c r="AW12" s="118">
        <f>IF(AV12&lt;0, 0, 0.00035*(10*AV12/((1/COS(M$1))-0.8))^(3/(1+1/(DATOS!E$6))))</f>
        <v>0</v>
      </c>
      <c r="AX12" s="118">
        <f t="shared" si="18"/>
        <v>639893.86923174153</v>
      </c>
      <c r="AY12" s="118">
        <f t="shared" si="44"/>
        <v>340728.48907918739</v>
      </c>
      <c r="AZ12" s="118">
        <f t="shared" si="19"/>
        <v>8.4301363462813921</v>
      </c>
      <c r="BA12" s="118">
        <f t="shared" si="20"/>
        <v>4.4765301545318001</v>
      </c>
      <c r="BB12" s="118">
        <f t="shared" si="21"/>
        <v>762640.67793552077</v>
      </c>
      <c r="BC12" s="118">
        <f>EDisponible!H25</f>
        <v>0.14760156319535001</v>
      </c>
      <c r="BD12" s="118">
        <f t="shared" si="45"/>
        <v>-0.65239843680465004</v>
      </c>
      <c r="BE12" s="118">
        <f>IF(BD12&lt;0, 0, 0.00035*(10*BD12/((1/COS(M$1))-0.8))^(3/(1+1/(DATOS!E$6))))</f>
        <v>0</v>
      </c>
      <c r="BF12" s="118">
        <f t="shared" si="22"/>
        <v>762640.67793552077</v>
      </c>
      <c r="BG12" s="118">
        <f t="shared" si="46"/>
        <v>283355.23154002626</v>
      </c>
      <c r="BH12" s="118">
        <f t="shared" si="23"/>
        <v>10.137055188247871</v>
      </c>
      <c r="BI12" s="118">
        <f t="shared" si="24"/>
        <v>6.4670024845182787</v>
      </c>
      <c r="BJ12" s="118">
        <f t="shared" si="25"/>
        <v>916229.49318530096</v>
      </c>
      <c r="BK12" s="118">
        <f>EDisponible!I25</f>
        <v>0.15083827848498327</v>
      </c>
      <c r="BL12" s="118">
        <f t="shared" si="47"/>
        <v>-0.64916172151501672</v>
      </c>
      <c r="BM12" s="118">
        <f>IF(BL12&lt;0, 0, 0.00035*(10*BL12/((1/COS(M$1))-0.8))^(3/(1+1/(DATOS!E$6))))</f>
        <v>0</v>
      </c>
      <c r="BN12" s="118">
        <f t="shared" si="26"/>
        <v>916229.49318530096</v>
      </c>
    </row>
    <row r="13" spans="1:66">
      <c r="A13" s="41">
        <f>EDisponible!A26</f>
        <v>50</v>
      </c>
      <c r="B13" s="44"/>
      <c r="C13" s="118">
        <f t="shared" si="0"/>
        <v>1103705.0818202742</v>
      </c>
      <c r="D13" s="118">
        <f t="shared" si="1"/>
        <v>2.6024956007838114</v>
      </c>
      <c r="E13" s="118">
        <f t="shared" si="2"/>
        <v>0.43850559412462747</v>
      </c>
      <c r="F13" s="118">
        <f t="shared" si="3"/>
        <v>241990.42632098496</v>
      </c>
      <c r="G13" s="118">
        <f>EDisponible!B26</f>
        <v>0.14641054607542789</v>
      </c>
      <c r="H13" s="118">
        <f t="shared" si="27"/>
        <v>-0.65358945392457213</v>
      </c>
      <c r="I13" s="118">
        <f>IF(H13&lt;0, 0, 0.00035*(10*H13/((1/COS(M$1))-0.8))^(3/(1+1/(DATOS!E$6))))</f>
        <v>0</v>
      </c>
      <c r="J13" s="118">
        <f t="shared" si="28"/>
        <v>241990.42632098496</v>
      </c>
      <c r="K13" s="118">
        <f t="shared" si="29"/>
        <v>953450.90493213071</v>
      </c>
      <c r="L13" s="11">
        <f t="shared" si="4"/>
        <v>3.0126224697478938</v>
      </c>
      <c r="M13" s="118">
        <f t="shared" si="5"/>
        <v>0.58314085059152965</v>
      </c>
      <c r="N13" s="118">
        <f t="shared" si="6"/>
        <v>277998.08584969316</v>
      </c>
      <c r="O13" s="118">
        <f>EDisponible!C26</f>
        <v>0.14895224626024214</v>
      </c>
      <c r="P13" s="118">
        <f t="shared" si="30"/>
        <v>-0.65104775373975787</v>
      </c>
      <c r="Q13" s="118">
        <f>IF(P13&lt;0, 0, 0.00035*(10*P13/((1/COS(M$1))-0.8))^(3/(1+1/(DATOS!E$6))))</f>
        <v>0</v>
      </c>
      <c r="R13" s="118">
        <f t="shared" si="31"/>
        <v>277998.08584969316</v>
      </c>
      <c r="S13" s="118">
        <f t="shared" si="32"/>
        <v>819370.41981416254</v>
      </c>
      <c r="T13" s="118">
        <f t="shared" si="7"/>
        <v>3.5056032662876366</v>
      </c>
      <c r="U13" s="118">
        <f t="shared" si="8"/>
        <v>0.78495724999107708</v>
      </c>
      <c r="V13" s="118">
        <f t="shared" si="9"/>
        <v>321585.37573067966</v>
      </c>
      <c r="W13" s="118">
        <f>EDisponible!D26</f>
        <v>0.15163108757131241</v>
      </c>
      <c r="X13" s="118">
        <f t="shared" si="33"/>
        <v>-0.64836891242868766</v>
      </c>
      <c r="Y13" s="118">
        <f>IF(X13&lt;0, 0, 0.00035*(10*X13/((1/COS(M$1))-0.8))^(3/(1+1/(DATOS!E$6))))</f>
        <v>0</v>
      </c>
      <c r="Z13" s="118">
        <f t="shared" si="34"/>
        <v>321585.37573067966</v>
      </c>
      <c r="AA13" s="118">
        <f t="shared" si="35"/>
        <v>700215.469641887</v>
      </c>
      <c r="AB13" s="118">
        <f t="shared" si="10"/>
        <v>4.1021481879985213</v>
      </c>
      <c r="AC13" s="118">
        <f t="shared" si="11"/>
        <v>1.0699911555023329</v>
      </c>
      <c r="AD13" s="118">
        <f t="shared" si="36"/>
        <v>374612.1797313657</v>
      </c>
      <c r="AE13" s="118">
        <f>EDisponible!E26</f>
        <v>0.15445986367189682</v>
      </c>
      <c r="AF13" s="118">
        <f t="shared" si="37"/>
        <v>-0.64554013632810325</v>
      </c>
      <c r="AG13" s="118">
        <f>IF(AF13&lt;0, 0, 0.00035*(10*AF13/((1/COS(M$1))-0.8))^(3/(1+1/(DATOS!E$6))))</f>
        <v>0</v>
      </c>
      <c r="AH13" s="118">
        <f t="shared" si="38"/>
        <v>374612.1797313657</v>
      </c>
      <c r="AI13" s="118">
        <f t="shared" si="39"/>
        <v>594793.45406140201</v>
      </c>
      <c r="AJ13" s="118">
        <f t="shared" si="12"/>
        <v>4.8292186142712259</v>
      </c>
      <c r="AK13" s="118">
        <f t="shared" si="13"/>
        <v>1.477832697903011</v>
      </c>
      <c r="AL13" s="118">
        <f t="shared" si="14"/>
        <v>439502.60745530616</v>
      </c>
      <c r="AM13" s="118">
        <f>EDisponible!F26</f>
        <v>0.15745310399953094</v>
      </c>
      <c r="AN13" s="118">
        <f t="shared" si="40"/>
        <v>-0.6425468960004691</v>
      </c>
      <c r="AO13" s="118">
        <f>IF(AN13&lt;0, 0, 0.00035*(10*AN13/((1/COS(M$1))-0.8))^(3/(1+1/(DATOS!E$6))))</f>
        <v>0</v>
      </c>
      <c r="AP13" s="118">
        <f t="shared" si="41"/>
        <v>439502.60745530616</v>
      </c>
      <c r="AQ13" s="118">
        <f t="shared" si="42"/>
        <v>501966.80633873184</v>
      </c>
      <c r="AR13" s="118">
        <f t="shared" si="15"/>
        <v>5.7222660616759713</v>
      </c>
      <c r="AS13" s="118">
        <f t="shared" si="16"/>
        <v>2.0696465972894624</v>
      </c>
      <c r="AT13" s="118">
        <f t="shared" si="17"/>
        <v>519446.94634560746</v>
      </c>
      <c r="AU13" s="118">
        <f>EDisponible!G26</f>
        <v>0.16062738878409338</v>
      </c>
      <c r="AV13" s="118">
        <f t="shared" si="43"/>
        <v>-0.63937261121590661</v>
      </c>
      <c r="AW13" s="118">
        <f>IF(AV13&lt;0, 0, 0.00035*(10*AV13/((1/COS(M$1))-0.8))^(3/(1+1/(DATOS!E$6))))</f>
        <v>0</v>
      </c>
      <c r="AX13" s="118">
        <f t="shared" si="18"/>
        <v>519446.94634560746</v>
      </c>
      <c r="AY13" s="118">
        <f t="shared" si="44"/>
        <v>420652.45565331774</v>
      </c>
      <c r="AZ13" s="118">
        <f t="shared" si="19"/>
        <v>6.8284104404879287</v>
      </c>
      <c r="BA13" s="118">
        <f t="shared" si="20"/>
        <v>2.9415653275525271</v>
      </c>
      <c r="BB13" s="118">
        <f t="shared" si="21"/>
        <v>618688.33924981323</v>
      </c>
      <c r="BC13" s="118">
        <f>EDisponible!H26</f>
        <v>0.16400173688372222</v>
      </c>
      <c r="BD13" s="118">
        <f t="shared" si="45"/>
        <v>-0.63599826311627783</v>
      </c>
      <c r="BE13" s="118">
        <f>IF(BD13&lt;0, 0, 0.00035*(10*BD13/((1/COS(M$1))-0.8))^(3/(1+1/(DATOS!E$6))))</f>
        <v>0</v>
      </c>
      <c r="BF13" s="118">
        <f t="shared" si="22"/>
        <v>618688.33924981323</v>
      </c>
      <c r="BG13" s="118">
        <f t="shared" si="46"/>
        <v>349821.2735062053</v>
      </c>
      <c r="BH13" s="118">
        <f t="shared" si="23"/>
        <v>8.2110147024807745</v>
      </c>
      <c r="BI13" s="118">
        <f t="shared" si="24"/>
        <v>4.2475142232566538</v>
      </c>
      <c r="BJ13" s="118">
        <f t="shared" si="25"/>
        <v>742935.41740768147</v>
      </c>
      <c r="BK13" s="118">
        <f>EDisponible!I26</f>
        <v>0.16759808720553696</v>
      </c>
      <c r="BL13" s="118">
        <f t="shared" si="47"/>
        <v>-0.63240191279446312</v>
      </c>
      <c r="BM13" s="118">
        <f>IF(BL13&lt;0, 0, 0.00035*(10*BL13/((1/COS(M$1))-0.8))^(3/(1+1/(DATOS!E$6))))</f>
        <v>0</v>
      </c>
      <c r="BN13" s="118">
        <f t="shared" si="26"/>
        <v>742935.41740768147</v>
      </c>
    </row>
    <row r="14" spans="1:66">
      <c r="A14" s="41">
        <f>EDisponible!A27</f>
        <v>55</v>
      </c>
      <c r="B14" s="44"/>
      <c r="C14" s="118">
        <f t="shared" si="0"/>
        <v>1335483.1490025318</v>
      </c>
      <c r="D14" s="118">
        <f t="shared" si="1"/>
        <v>2.1508228105651335</v>
      </c>
      <c r="E14" s="118">
        <f t="shared" si="2"/>
        <v>0.30366585900733373</v>
      </c>
      <c r="F14" s="118">
        <f t="shared" si="3"/>
        <v>202770.31881583645</v>
      </c>
      <c r="G14" s="118">
        <f>EDisponible!B27</f>
        <v>0.16105160068297067</v>
      </c>
      <c r="H14" s="118">
        <f t="shared" si="27"/>
        <v>-0.6389483993170294</v>
      </c>
      <c r="I14" s="118">
        <f>IF(H14&lt;0, 0, 0.00035*(10*H14/((1/COS(M$1))-0.8))^(3/(1+1/(DATOS!E$6))))</f>
        <v>0</v>
      </c>
      <c r="J14" s="118">
        <f t="shared" si="28"/>
        <v>202770.31881583645</v>
      </c>
      <c r="K14" s="118">
        <f t="shared" si="29"/>
        <v>1153675.594967878</v>
      </c>
      <c r="L14" s="11">
        <f t="shared" si="4"/>
        <v>2.4897706361552849</v>
      </c>
      <c r="M14" s="118">
        <f t="shared" si="5"/>
        <v>0.40245368529440601</v>
      </c>
      <c r="N14" s="118">
        <f t="shared" si="6"/>
        <v>232150.49741451949</v>
      </c>
      <c r="O14" s="118">
        <f>EDisponible!C27</f>
        <v>0.16384747088626636</v>
      </c>
      <c r="P14" s="118">
        <f t="shared" si="30"/>
        <v>-0.63615252911373366</v>
      </c>
      <c r="Q14" s="118">
        <f>IF(P14&lt;0, 0, 0.00035*(10*P14/((1/COS(M$1))-0.8))^(3/(1+1/(DATOS!E$6))))</f>
        <v>0</v>
      </c>
      <c r="R14" s="118">
        <f t="shared" si="31"/>
        <v>232150.49741451949</v>
      </c>
      <c r="S14" s="118">
        <f t="shared" si="32"/>
        <v>991438.2079751367</v>
      </c>
      <c r="T14" s="118">
        <f t="shared" si="7"/>
        <v>2.8971927820558978</v>
      </c>
      <c r="U14" s="118">
        <f t="shared" si="8"/>
        <v>0.54029700159762772</v>
      </c>
      <c r="V14" s="118">
        <f t="shared" si="9"/>
        <v>267835.54551914579</v>
      </c>
      <c r="W14" s="118">
        <f>EDisponible!D27</f>
        <v>0.16679419632844367</v>
      </c>
      <c r="X14" s="118">
        <f t="shared" si="33"/>
        <v>-0.63320580367155643</v>
      </c>
      <c r="Y14" s="118">
        <f>IF(X14&lt;0, 0, 0.00035*(10*X14/((1/COS(M$1))-0.8))^(3/(1+1/(DATOS!E$6))))</f>
        <v>0</v>
      </c>
      <c r="Z14" s="118">
        <f t="shared" si="34"/>
        <v>267835.54551914579</v>
      </c>
      <c r="AA14" s="118">
        <f t="shared" si="35"/>
        <v>847260.71826668328</v>
      </c>
      <c r="AB14" s="118">
        <f t="shared" si="10"/>
        <v>3.3902051140483644</v>
      </c>
      <c r="AC14" s="118">
        <f t="shared" si="11"/>
        <v>0.73497899429707159</v>
      </c>
      <c r="AD14" s="118">
        <f t="shared" si="36"/>
        <v>311359.41530953068</v>
      </c>
      <c r="AE14" s="118">
        <f>EDisponible!E27</f>
        <v>0.16990585003908651</v>
      </c>
      <c r="AF14" s="118">
        <f t="shared" si="37"/>
        <v>-0.63009414996091351</v>
      </c>
      <c r="AG14" s="118">
        <f>IF(AF14&lt;0, 0, 0.00035*(10*AF14/((1/COS(M$1))-0.8))^(3/(1+1/(DATOS!E$6))))</f>
        <v>0</v>
      </c>
      <c r="AH14" s="118">
        <f t="shared" si="38"/>
        <v>311359.41530953068</v>
      </c>
      <c r="AI14" s="118">
        <f t="shared" si="39"/>
        <v>719700.07941429643</v>
      </c>
      <c r="AJ14" s="118">
        <f t="shared" si="12"/>
        <v>3.9910897638605176</v>
      </c>
      <c r="AK14" s="118">
        <f t="shared" si="13"/>
        <v>1.0135402554135788</v>
      </c>
      <c r="AL14" s="118">
        <f t="shared" si="14"/>
        <v>364722.50115536951</v>
      </c>
      <c r="AM14" s="118">
        <f>EDisponible!F27</f>
        <v>0.17319841439948405</v>
      </c>
      <c r="AN14" s="118">
        <f t="shared" si="40"/>
        <v>-0.62680158560051602</v>
      </c>
      <c r="AO14" s="118">
        <f>IF(AN14&lt;0, 0, 0.00035*(10*AN14/((1/COS(M$1))-0.8))^(3/(1+1/(DATOS!E$6))))</f>
        <v>0</v>
      </c>
      <c r="AP14" s="118">
        <f t="shared" si="41"/>
        <v>364722.50115536951</v>
      </c>
      <c r="AQ14" s="118">
        <f t="shared" si="42"/>
        <v>607379.83566986548</v>
      </c>
      <c r="AR14" s="118">
        <f t="shared" si="15"/>
        <v>4.7291455055173319</v>
      </c>
      <c r="AS14" s="118">
        <f t="shared" si="16"/>
        <v>1.4177571117665952</v>
      </c>
      <c r="AT14" s="118">
        <f t="shared" si="17"/>
        <v>430558.54078228888</v>
      </c>
      <c r="AU14" s="118">
        <f>EDisponible!G27</f>
        <v>0.17669012766250272</v>
      </c>
      <c r="AV14" s="118">
        <f t="shared" si="43"/>
        <v>-0.62330987233749735</v>
      </c>
      <c r="AW14" s="118">
        <f>IF(AV14&lt;0, 0, 0.00035*(10*AV14/((1/COS(M$1))-0.8))^(3/(1+1/(DATOS!E$6))))</f>
        <v>0</v>
      </c>
      <c r="AX14" s="118">
        <f t="shared" si="18"/>
        <v>430558.54078228888</v>
      </c>
      <c r="AY14" s="118">
        <f t="shared" si="44"/>
        <v>508989.47134051454</v>
      </c>
      <c r="AZ14" s="118">
        <f t="shared" si="19"/>
        <v>5.6433144136263858</v>
      </c>
      <c r="BA14" s="118">
        <f t="shared" si="20"/>
        <v>2.0132893365210949</v>
      </c>
      <c r="BB14" s="118">
        <f t="shared" si="21"/>
        <v>512371.5375256837</v>
      </c>
      <c r="BC14" s="118">
        <f>EDisponible!H27</f>
        <v>0.18040191057209443</v>
      </c>
      <c r="BD14" s="118">
        <f t="shared" si="45"/>
        <v>-0.61959808942790562</v>
      </c>
      <c r="BE14" s="118">
        <f>IF(BD14&lt;0, 0, 0.00035*(10*BD14/((1/COS(M$1))-0.8))^(3/(1+1/(DATOS!E$6))))</f>
        <v>0</v>
      </c>
      <c r="BF14" s="118">
        <f t="shared" si="22"/>
        <v>512371.5375256837</v>
      </c>
      <c r="BG14" s="118">
        <f t="shared" si="46"/>
        <v>423283.74094250839</v>
      </c>
      <c r="BH14" s="118">
        <f t="shared" si="23"/>
        <v>6.7859625640336985</v>
      </c>
      <c r="BI14" s="118">
        <f t="shared" si="24"/>
        <v>2.9052700043061708</v>
      </c>
      <c r="BJ14" s="118">
        <f t="shared" si="25"/>
        <v>614876.77793538675</v>
      </c>
      <c r="BK14" s="118">
        <f>EDisponible!I27</f>
        <v>0.18435789592609067</v>
      </c>
      <c r="BL14" s="118">
        <f t="shared" si="47"/>
        <v>-0.6156421040739094</v>
      </c>
      <c r="BM14" s="118">
        <f>IF(BL14&lt;0, 0, 0.00035*(10*BL14/((1/COS(M$1))-0.8))^(3/(1+1/(DATOS!E$6))))</f>
        <v>0</v>
      </c>
      <c r="BN14" s="118">
        <f t="shared" si="26"/>
        <v>614876.77793538675</v>
      </c>
    </row>
    <row r="15" spans="1:66">
      <c r="A15" s="41">
        <f>EDisponible!A28</f>
        <v>60</v>
      </c>
      <c r="B15" s="44"/>
      <c r="C15" s="118">
        <f t="shared" si="0"/>
        <v>1589335.3178211949</v>
      </c>
      <c r="D15" s="118">
        <f t="shared" si="1"/>
        <v>1.8072886116554245</v>
      </c>
      <c r="E15" s="118">
        <f t="shared" si="2"/>
        <v>0.21826641405040773</v>
      </c>
      <c r="F15" s="118">
        <f t="shared" si="3"/>
        <v>173449.26027224865</v>
      </c>
      <c r="G15" s="118">
        <f>EDisponible!B28</f>
        <v>0.17569265529051345</v>
      </c>
      <c r="H15" s="118">
        <f t="shared" si="27"/>
        <v>-0.62430734470948657</v>
      </c>
      <c r="I15" s="118">
        <f>IF(H15&lt;0, 0, 0.00035*(10*H15/((1/COS(M$1))-0.8))^(3/(1+1/(DATOS!E$6))))</f>
        <v>0</v>
      </c>
      <c r="J15" s="118">
        <f t="shared" si="28"/>
        <v>173449.26027224865</v>
      </c>
      <c r="K15" s="118">
        <f t="shared" si="29"/>
        <v>1372969.3031022681</v>
      </c>
      <c r="L15" s="11">
        <f t="shared" si="4"/>
        <v>2.0920989373249266</v>
      </c>
      <c r="M15" s="118">
        <f t="shared" si="5"/>
        <v>0.28801721288668397</v>
      </c>
      <c r="N15" s="118">
        <f t="shared" si="6"/>
        <v>197719.39602924406</v>
      </c>
      <c r="O15" s="118">
        <f>EDisponible!C28</f>
        <v>0.17874269551229055</v>
      </c>
      <c r="P15" s="118">
        <f t="shared" si="30"/>
        <v>-0.62125730448770944</v>
      </c>
      <c r="Q15" s="118">
        <f>IF(P15&lt;0, 0, 0.00035*(10*P15/((1/COS(M$1))-0.8))^(3/(1+1/(DATOS!E$6))))</f>
        <v>0</v>
      </c>
      <c r="R15" s="118">
        <f t="shared" si="31"/>
        <v>197719.39602924406</v>
      </c>
      <c r="S15" s="118">
        <f t="shared" si="32"/>
        <v>1179893.4045323941</v>
      </c>
      <c r="T15" s="118">
        <f t="shared" si="7"/>
        <v>2.4344467126997476</v>
      </c>
      <c r="U15" s="118">
        <f t="shared" si="8"/>
        <v>0.3853437943872372</v>
      </c>
      <c r="V15" s="118">
        <f t="shared" si="9"/>
        <v>227332.30073749408</v>
      </c>
      <c r="W15" s="118">
        <f>EDisponible!D28</f>
        <v>0.18195730508557489</v>
      </c>
      <c r="X15" s="118">
        <f t="shared" si="33"/>
        <v>-0.61804269491442509</v>
      </c>
      <c r="Y15" s="118">
        <f>IF(X15&lt;0, 0, 0.00035*(10*X15/((1/COS(M$1))-0.8))^(3/(1+1/(DATOS!E$6))))</f>
        <v>0</v>
      </c>
      <c r="Z15" s="118">
        <f t="shared" si="34"/>
        <v>227332.30073749408</v>
      </c>
      <c r="AA15" s="118">
        <f t="shared" si="35"/>
        <v>1008310.2762843173</v>
      </c>
      <c r="AB15" s="118">
        <f t="shared" si="10"/>
        <v>2.8487140194434173</v>
      </c>
      <c r="AC15" s="118">
        <f t="shared" si="11"/>
        <v>0.52280227505431653</v>
      </c>
      <c r="AD15" s="118">
        <f t="shared" si="36"/>
        <v>263573.45320104377</v>
      </c>
      <c r="AE15" s="118">
        <f>EDisponible!E28</f>
        <v>0.1853518364062762</v>
      </c>
      <c r="AF15" s="118">
        <f t="shared" si="37"/>
        <v>-0.61464816359372387</v>
      </c>
      <c r="AG15" s="118">
        <f>IF(AF15&lt;0, 0, 0.00035*(10*AF15/((1/COS(M$1))-0.8))^(3/(1+1/(DATOS!E$6))))</f>
        <v>0</v>
      </c>
      <c r="AH15" s="118">
        <f t="shared" si="38"/>
        <v>263573.45320104377</v>
      </c>
      <c r="AI15" s="118">
        <f t="shared" si="39"/>
        <v>856502.57384841889</v>
      </c>
      <c r="AJ15" s="118">
        <f t="shared" si="12"/>
        <v>3.3536240376883515</v>
      </c>
      <c r="AK15" s="118">
        <f t="shared" si="13"/>
        <v>0.71948511764723622</v>
      </c>
      <c r="AL15" s="118">
        <f t="shared" si="14"/>
        <v>308120.42755524517</v>
      </c>
      <c r="AM15" s="118">
        <f>EDisponible!F28</f>
        <v>0.18894372479943713</v>
      </c>
      <c r="AN15" s="118">
        <f t="shared" si="40"/>
        <v>-0.61105627520056294</v>
      </c>
      <c r="AO15" s="118">
        <f>IF(AN15&lt;0, 0, 0.00035*(10*AN15/((1/COS(M$1))-0.8))^(3/(1+1/(DATOS!E$6))))</f>
        <v>0</v>
      </c>
      <c r="AP15" s="118">
        <f t="shared" si="41"/>
        <v>308120.42755524517</v>
      </c>
      <c r="AQ15" s="118">
        <f t="shared" si="42"/>
        <v>722832.20112777385</v>
      </c>
      <c r="AR15" s="118">
        <f t="shared" si="15"/>
        <v>3.973795876163869</v>
      </c>
      <c r="AS15" s="118">
        <f t="shared" si="16"/>
        <v>1.0048891972124614</v>
      </c>
      <c r="AT15" s="118">
        <f t="shared" si="17"/>
        <v>363183.13515530253</v>
      </c>
      <c r="AU15" s="118">
        <f>EDisponible!G28</f>
        <v>0.19275286654091206</v>
      </c>
      <c r="AV15" s="118">
        <f t="shared" si="43"/>
        <v>-0.60724713345908798</v>
      </c>
      <c r="AW15" s="118">
        <f>IF(AV15&lt;0, 0, 0.00035*(10*AV15/((1/COS(M$1))-0.8))^(3/(1+1/(DATOS!E$6))))</f>
        <v>0</v>
      </c>
      <c r="AX15" s="118">
        <f t="shared" si="18"/>
        <v>363183.13515530253</v>
      </c>
      <c r="AY15" s="118">
        <f t="shared" si="44"/>
        <v>605739.53614077764</v>
      </c>
      <c r="AZ15" s="118">
        <f t="shared" si="19"/>
        <v>4.7419516947832827</v>
      </c>
      <c r="BA15" s="118">
        <f t="shared" si="20"/>
        <v>1.4253746959890161</v>
      </c>
      <c r="BB15" s="118">
        <f t="shared" si="21"/>
        <v>431702.90358759428</v>
      </c>
      <c r="BC15" s="118">
        <f>EDisponible!H28</f>
        <v>0.19680208426046666</v>
      </c>
      <c r="BD15" s="118">
        <f t="shared" si="45"/>
        <v>-0.60319791573953341</v>
      </c>
      <c r="BE15" s="118">
        <f>IF(BD15&lt;0, 0, 0.00035*(10*BD15/((1/COS(M$1))-0.8))^(3/(1+1/(DATOS!E$6))))</f>
        <v>0</v>
      </c>
      <c r="BF15" s="118">
        <f t="shared" si="22"/>
        <v>431702.90358759428</v>
      </c>
      <c r="BG15" s="118">
        <f t="shared" si="46"/>
        <v>503742.63384893554</v>
      </c>
      <c r="BH15" s="118">
        <f t="shared" si="23"/>
        <v>5.7020935433894282</v>
      </c>
      <c r="BI15" s="118">
        <f t="shared" si="24"/>
        <v>2.0551725816488013</v>
      </c>
      <c r="BJ15" s="118">
        <f t="shared" si="25"/>
        <v>517639.02464694186</v>
      </c>
      <c r="BK15" s="118">
        <f>EDisponible!I28</f>
        <v>0.20111770464664436</v>
      </c>
      <c r="BL15" s="118">
        <f t="shared" si="47"/>
        <v>-0.59888229535335569</v>
      </c>
      <c r="BM15" s="118">
        <f>IF(BL15&lt;0, 0, 0.00035*(10*BL15/((1/COS(M$1))-0.8))^(3/(1+1/(DATOS!E$6))))</f>
        <v>0</v>
      </c>
      <c r="BN15" s="118">
        <f t="shared" si="26"/>
        <v>517639.02464694186</v>
      </c>
    </row>
    <row r="16" spans="1:66">
      <c r="A16" s="41">
        <f>EDisponible!A29</f>
        <v>65</v>
      </c>
      <c r="B16" s="44"/>
      <c r="C16" s="118">
        <f t="shared" si="0"/>
        <v>1865261.5882762636</v>
      </c>
      <c r="D16" s="118">
        <f t="shared" si="1"/>
        <v>1.5399382253158644</v>
      </c>
      <c r="E16" s="118">
        <f t="shared" si="2"/>
        <v>0.16206295880300273</v>
      </c>
      <c r="F16" s="118">
        <f t="shared" si="3"/>
        <v>151144.90596881977</v>
      </c>
      <c r="G16" s="118">
        <f>EDisponible!B29</f>
        <v>0.19033370989805626</v>
      </c>
      <c r="H16" s="118">
        <f t="shared" si="27"/>
        <v>-0.60966629010194384</v>
      </c>
      <c r="I16" s="118">
        <f>IF(H16&lt;0, 0, 0.00035*(10*H16/((1/COS(M$1))-0.8))^(3/(1+1/(DATOS!E$6))))</f>
        <v>0</v>
      </c>
      <c r="J16" s="118">
        <f t="shared" si="28"/>
        <v>151144.90596881977</v>
      </c>
      <c r="K16" s="118">
        <f t="shared" si="29"/>
        <v>1611332.0293353009</v>
      </c>
      <c r="L16" s="11">
        <f t="shared" si="4"/>
        <v>1.782616846004671</v>
      </c>
      <c r="M16" s="118">
        <f t="shared" si="5"/>
        <v>0.21270378246705593</v>
      </c>
      <c r="N16" s="118">
        <f t="shared" si="6"/>
        <v>171368.20872496782</v>
      </c>
      <c r="O16" s="118">
        <f>EDisponible!C29</f>
        <v>0.19363792013831477</v>
      </c>
      <c r="P16" s="118">
        <f t="shared" si="30"/>
        <v>-0.60636207986168533</v>
      </c>
      <c r="Q16" s="118">
        <f>IF(P16&lt;0, 0, 0.00035*(10*P16/((1/COS(M$1))-0.8))^(3/(1+1/(DATOS!E$6))))</f>
        <v>0</v>
      </c>
      <c r="R16" s="118">
        <f t="shared" si="31"/>
        <v>171368.20872496782</v>
      </c>
      <c r="S16" s="118">
        <f t="shared" si="32"/>
        <v>1384736.0094859346</v>
      </c>
      <c r="T16" s="118">
        <f t="shared" si="7"/>
        <v>2.0743214593417969</v>
      </c>
      <c r="U16" s="118">
        <f t="shared" si="8"/>
        <v>0.28336531371580337</v>
      </c>
      <c r="V16" s="118">
        <f t="shared" si="9"/>
        <v>196193.07687077578</v>
      </c>
      <c r="W16" s="118">
        <f>EDisponible!D29</f>
        <v>0.19712041384270615</v>
      </c>
      <c r="X16" s="118">
        <f t="shared" si="33"/>
        <v>-0.60287958615729387</v>
      </c>
      <c r="Y16" s="118">
        <f>IF(X16&lt;0, 0, 0.00035*(10*X16/((1/COS(M$1))-0.8))^(3/(1+1/(DATOS!E$6))))</f>
        <v>0</v>
      </c>
      <c r="Z16" s="118">
        <f t="shared" si="34"/>
        <v>196193.07687077578</v>
      </c>
      <c r="AA16" s="118">
        <f t="shared" si="35"/>
        <v>1183364.1436947891</v>
      </c>
      <c r="AB16" s="118">
        <f t="shared" si="10"/>
        <v>2.4273066201174678</v>
      </c>
      <c r="AC16" s="118">
        <f t="shared" si="11"/>
        <v>0.38316360702179941</v>
      </c>
      <c r="AD16" s="118">
        <f t="shared" si="36"/>
        <v>226711.03685917918</v>
      </c>
      <c r="AE16" s="118">
        <f>EDisponible!E29</f>
        <v>0.20079782277346589</v>
      </c>
      <c r="AF16" s="118">
        <f t="shared" si="37"/>
        <v>-0.59920217722653413</v>
      </c>
      <c r="AG16" s="118">
        <f>IF(AF16&lt;0, 0, 0.00035*(10*AF16/((1/COS(M$1))-0.8))^(3/(1+1/(DATOS!E$6))))</f>
        <v>0</v>
      </c>
      <c r="AH16" s="118">
        <f t="shared" si="38"/>
        <v>226711.03685917918</v>
      </c>
      <c r="AI16" s="118">
        <f t="shared" si="39"/>
        <v>1005200.9373637693</v>
      </c>
      <c r="AJ16" s="118">
        <f t="shared" si="12"/>
        <v>2.857525807261081</v>
      </c>
      <c r="AK16" s="118">
        <f t="shared" si="13"/>
        <v>0.52596026764316384</v>
      </c>
      <c r="AL16" s="118">
        <f t="shared" si="14"/>
        <v>264347.87702550361</v>
      </c>
      <c r="AM16" s="118">
        <f>EDisponible!F29</f>
        <v>0.20468903519939025</v>
      </c>
      <c r="AN16" s="118">
        <f t="shared" si="40"/>
        <v>-0.59531096480060985</v>
      </c>
      <c r="AO16" s="118">
        <f>IF(AN16&lt;0, 0, 0.00035*(10*AN16/((1/COS(M$1))-0.8))^(3/(1+1/(DATOS!E$6))))</f>
        <v>0</v>
      </c>
      <c r="AP16" s="118">
        <f t="shared" si="41"/>
        <v>264347.87702550361</v>
      </c>
      <c r="AQ16" s="118">
        <f t="shared" si="42"/>
        <v>848323.90271245688</v>
      </c>
      <c r="AR16" s="118">
        <f t="shared" si="15"/>
        <v>3.3859562495124087</v>
      </c>
      <c r="AS16" s="118">
        <f t="shared" si="16"/>
        <v>0.73317076425968641</v>
      </c>
      <c r="AT16" s="118">
        <f t="shared" si="17"/>
        <v>310983.14204572595</v>
      </c>
      <c r="AU16" s="118">
        <f>EDisponible!G29</f>
        <v>0.2088156054193214</v>
      </c>
      <c r="AV16" s="118">
        <f t="shared" si="43"/>
        <v>-0.59118439458067862</v>
      </c>
      <c r="AW16" s="118">
        <f>IF(AV16&lt;0, 0, 0.00035*(10*AV16/((1/COS(M$1))-0.8))^(3/(1+1/(DATOS!E$6))))</f>
        <v>0</v>
      </c>
      <c r="AX16" s="118">
        <f t="shared" si="18"/>
        <v>310983.14204572595</v>
      </c>
      <c r="AY16" s="118">
        <f t="shared" si="44"/>
        <v>710902.65005410707</v>
      </c>
      <c r="AZ16" s="118">
        <f t="shared" si="19"/>
        <v>4.0404795505845721</v>
      </c>
      <c r="BA16" s="118">
        <f t="shared" si="20"/>
        <v>1.0384537481408753</v>
      </c>
      <c r="BB16" s="118">
        <f t="shared" si="21"/>
        <v>369119.76075598429</v>
      </c>
      <c r="BC16" s="118">
        <f>EDisponible!H29</f>
        <v>0.21320225794883887</v>
      </c>
      <c r="BD16" s="118">
        <f t="shared" si="45"/>
        <v>-0.5867977420511612</v>
      </c>
      <c r="BE16" s="118">
        <f>IF(BD16&lt;0, 0, 0.00035*(10*BD16/((1/COS(M$1))-0.8))^(3/(1+1/(DATOS!E$6))))</f>
        <v>0</v>
      </c>
      <c r="BF16" s="118">
        <f t="shared" si="22"/>
        <v>369119.76075598429</v>
      </c>
      <c r="BG16" s="118">
        <f t="shared" si="46"/>
        <v>591197.95222548686</v>
      </c>
      <c r="BH16" s="118">
        <f t="shared" si="23"/>
        <v>4.8585885813495722</v>
      </c>
      <c r="BI16" s="118">
        <f t="shared" si="24"/>
        <v>1.4957027575257469</v>
      </c>
      <c r="BJ16" s="118">
        <f t="shared" si="25"/>
        <v>442128.20369361772</v>
      </c>
      <c r="BK16" s="118">
        <f>EDisponible!I29</f>
        <v>0.21787751336719804</v>
      </c>
      <c r="BL16" s="118">
        <f t="shared" si="47"/>
        <v>-0.58212248663280197</v>
      </c>
      <c r="BM16" s="118">
        <f>IF(BL16&lt;0, 0, 0.00035*(10*BL16/((1/COS(M$1))-0.8))^(3/(1+1/(DATOS!E$6))))</f>
        <v>0</v>
      </c>
      <c r="BN16" s="118">
        <f t="shared" si="26"/>
        <v>442128.20369361772</v>
      </c>
    </row>
    <row r="17" spans="1:66">
      <c r="A17" s="41">
        <f>EDisponible!A30</f>
        <v>70</v>
      </c>
      <c r="B17" s="44"/>
      <c r="C17" s="118">
        <f t="shared" si="0"/>
        <v>2163261.9603677378</v>
      </c>
      <c r="D17" s="118">
        <f t="shared" si="1"/>
        <v>1.3278038779509238</v>
      </c>
      <c r="E17" s="118">
        <f t="shared" si="2"/>
        <v>0.12385550122362478</v>
      </c>
      <c r="F17" s="118">
        <f t="shared" si="3"/>
        <v>133965.94718967364</v>
      </c>
      <c r="G17" s="118">
        <f>EDisponible!B30</f>
        <v>0.20497476450559904</v>
      </c>
      <c r="H17" s="118">
        <f t="shared" si="27"/>
        <v>-0.59502523549440101</v>
      </c>
      <c r="I17" s="118">
        <f>IF(H17&lt;0, 0, 0.00035*(10*H17/((1/COS(M$1))-0.8))^(3/(1+1/(DATOS!E$6))))</f>
        <v>0</v>
      </c>
      <c r="J17" s="118">
        <f t="shared" si="28"/>
        <v>133965.94718967364</v>
      </c>
      <c r="K17" s="118">
        <f t="shared" si="29"/>
        <v>1868763.7736669763</v>
      </c>
      <c r="L17" s="11">
        <f t="shared" si="4"/>
        <v>1.5370522804836193</v>
      </c>
      <c r="M17" s="118">
        <f t="shared" si="5"/>
        <v>0.16150524520188966</v>
      </c>
      <c r="N17" s="118">
        <f t="shared" si="6"/>
        <v>150907.57574524681</v>
      </c>
      <c r="O17" s="118">
        <f>EDisponible!C30</f>
        <v>0.20853314476433898</v>
      </c>
      <c r="P17" s="118">
        <f t="shared" si="30"/>
        <v>-0.591466855235661</v>
      </c>
      <c r="Q17" s="118">
        <f>IF(P17&lt;0, 0, 0.00035*(10*P17/((1/COS(M$1))-0.8))^(3/(1+1/(DATOS!E$6))))</f>
        <v>0</v>
      </c>
      <c r="R17" s="118">
        <f t="shared" si="31"/>
        <v>150907.57574524681</v>
      </c>
      <c r="S17" s="118">
        <f t="shared" si="32"/>
        <v>1605966.0228357587</v>
      </c>
      <c r="T17" s="118">
        <f t="shared" si="7"/>
        <v>1.7885730950447123</v>
      </c>
      <c r="U17" s="118">
        <f t="shared" si="8"/>
        <v>0.21403970985191759</v>
      </c>
      <c r="V17" s="118">
        <f t="shared" si="9"/>
        <v>171870.25077990192</v>
      </c>
      <c r="W17" s="118">
        <f>EDisponible!D30</f>
        <v>0.21228352259983738</v>
      </c>
      <c r="X17" s="118">
        <f t="shared" si="33"/>
        <v>-0.58771647740016264</v>
      </c>
      <c r="Y17" s="118">
        <f>IF(X17&lt;0, 0, 0.00035*(10*X17/((1/COS(M$1))-0.8))^(3/(1+1/(DATOS!E$6))))</f>
        <v>0</v>
      </c>
      <c r="Z17" s="118">
        <f t="shared" si="34"/>
        <v>171870.25077990192</v>
      </c>
      <c r="AA17" s="118">
        <f t="shared" si="35"/>
        <v>1372422.3204980986</v>
      </c>
      <c r="AB17" s="118">
        <f t="shared" si="10"/>
        <v>2.092932748978837</v>
      </c>
      <c r="AC17" s="118">
        <f t="shared" si="11"/>
        <v>0.28823637413535563</v>
      </c>
      <c r="AD17" s="118">
        <f t="shared" si="36"/>
        <v>197791.01672140145</v>
      </c>
      <c r="AE17" s="118">
        <f>EDisponible!E30</f>
        <v>0.21624380914065555</v>
      </c>
      <c r="AF17" s="118">
        <f t="shared" si="37"/>
        <v>-0.58375619085934449</v>
      </c>
      <c r="AG17" s="118">
        <f>IF(AF17&lt;0, 0, 0.00035*(10*AF17/((1/COS(M$1))-0.8))^(3/(1+1/(DATOS!E$6))))</f>
        <v>0</v>
      </c>
      <c r="AH17" s="118">
        <f t="shared" si="38"/>
        <v>197791.01672140145</v>
      </c>
      <c r="AI17" s="118">
        <f t="shared" si="39"/>
        <v>1165795.1699603479</v>
      </c>
      <c r="AJ17" s="118">
        <f t="shared" si="12"/>
        <v>2.4638870480975643</v>
      </c>
      <c r="AK17" s="118">
        <f t="shared" si="13"/>
        <v>0.39440087392728562</v>
      </c>
      <c r="AL17" s="118">
        <f t="shared" si="14"/>
        <v>229895.31692628484</v>
      </c>
      <c r="AM17" s="118">
        <f>EDisponible!F30</f>
        <v>0.22043434559934333</v>
      </c>
      <c r="AN17" s="118">
        <f t="shared" si="40"/>
        <v>-0.57956565440065666</v>
      </c>
      <c r="AO17" s="118">
        <f>IF(AN17&lt;0, 0, 0.00035*(10*AN17/((1/COS(M$1))-0.8))^(3/(1+1/(DATOS!E$6))))</f>
        <v>0</v>
      </c>
      <c r="AP17" s="118">
        <f t="shared" si="41"/>
        <v>229895.31692628484</v>
      </c>
      <c r="AQ17" s="118">
        <f t="shared" si="42"/>
        <v>983854.94042391435</v>
      </c>
      <c r="AR17" s="118">
        <f t="shared" si="15"/>
        <v>2.9195235008550875</v>
      </c>
      <c r="AS17" s="118">
        <f t="shared" si="16"/>
        <v>0.54845488772009365</v>
      </c>
      <c r="AT17" s="118">
        <f t="shared" si="17"/>
        <v>269800.02544152871</v>
      </c>
      <c r="AU17" s="118">
        <f>EDisponible!G30</f>
        <v>0.22487834429773074</v>
      </c>
      <c r="AV17" s="118">
        <f t="shared" si="43"/>
        <v>-0.57512165570226936</v>
      </c>
      <c r="AW17" s="118">
        <f>IF(AV17&lt;0, 0, 0.00035*(10*AV17/((1/COS(M$1))-0.8))^(3/(1+1/(DATOS!E$6))))</f>
        <v>0</v>
      </c>
      <c r="AX17" s="118">
        <f t="shared" si="18"/>
        <v>269800.02544152871</v>
      </c>
      <c r="AY17" s="118">
        <f t="shared" si="44"/>
        <v>824478.81308050279</v>
      </c>
      <c r="AZ17" s="118">
        <f t="shared" si="19"/>
        <v>3.4838828777999633</v>
      </c>
      <c r="BA17" s="118">
        <f t="shared" si="20"/>
        <v>0.7754224872263058</v>
      </c>
      <c r="BB17" s="118">
        <f t="shared" si="21"/>
        <v>319659.705952138</v>
      </c>
      <c r="BC17" s="118">
        <f>EDisponible!H30</f>
        <v>0.22960243163721111</v>
      </c>
      <c r="BD17" s="118">
        <f t="shared" si="45"/>
        <v>-0.57039756836278888</v>
      </c>
      <c r="BE17" s="118">
        <f>IF(BD17&lt;0, 0, 0.00035*(10*BD17/((1/COS(M$1))-0.8))^(3/(1+1/(DATOS!E$6))))</f>
        <v>0</v>
      </c>
      <c r="BF17" s="118">
        <f t="shared" si="22"/>
        <v>319659.705952138</v>
      </c>
      <c r="BG17" s="118">
        <f t="shared" si="46"/>
        <v>685649.69607216236</v>
      </c>
      <c r="BH17" s="118">
        <f t="shared" si="23"/>
        <v>4.189293215551416</v>
      </c>
      <c r="BI17" s="118">
        <f t="shared" si="24"/>
        <v>1.1153716999772763</v>
      </c>
      <c r="BJ17" s="118">
        <f t="shared" si="25"/>
        <v>382377.13354845525</v>
      </c>
      <c r="BK17" s="118">
        <f>EDisponible!I30</f>
        <v>0.23463732208775176</v>
      </c>
      <c r="BL17" s="118">
        <f t="shared" si="47"/>
        <v>-0.56536267791224826</v>
      </c>
      <c r="BM17" s="118">
        <f>IF(BL17&lt;0, 0, 0.00035*(10*BL17/((1/COS(M$1))-0.8))^(3/(1+1/(DATOS!E$6))))</f>
        <v>0</v>
      </c>
      <c r="BN17" s="118">
        <f t="shared" si="26"/>
        <v>382377.13354845525</v>
      </c>
    </row>
    <row r="18" spans="1:66">
      <c r="A18" s="41">
        <f>EDisponible!A31</f>
        <v>75</v>
      </c>
      <c r="B18" s="44"/>
      <c r="C18" s="118">
        <f t="shared" si="0"/>
        <v>2483336.4340956169</v>
      </c>
      <c r="D18" s="118">
        <f t="shared" si="1"/>
        <v>1.1566647114594717</v>
      </c>
      <c r="E18" s="118">
        <f t="shared" si="2"/>
        <v>9.7151276274868151E-2</v>
      </c>
      <c r="F18" s="118">
        <f t="shared" si="3"/>
        <v>120629.65199613459</v>
      </c>
      <c r="G18" s="118">
        <f>EDisponible!B31</f>
        <v>0.21961581911314182</v>
      </c>
      <c r="H18" s="118">
        <f t="shared" si="27"/>
        <v>-0.58038418088685817</v>
      </c>
      <c r="I18" s="118">
        <f>IF(H18&lt;0, 0, 0.00035*(10*H18/((1/COS(M$1))-0.8))^(3/(1+1/(DATOS!E$6))))</f>
        <v>0</v>
      </c>
      <c r="J18" s="118">
        <f t="shared" si="28"/>
        <v>120629.65199613459</v>
      </c>
      <c r="K18" s="118">
        <f t="shared" si="29"/>
        <v>2145264.5360972937</v>
      </c>
      <c r="L18" s="11">
        <f t="shared" si="4"/>
        <v>1.3389433198879532</v>
      </c>
      <c r="M18" s="118">
        <f t="shared" si="5"/>
        <v>0.12572120347820695</v>
      </c>
      <c r="N18" s="118">
        <f t="shared" si="6"/>
        <v>134852.61962863454</v>
      </c>
      <c r="O18" s="118">
        <f>EDisponible!C31</f>
        <v>0.2234283693903632</v>
      </c>
      <c r="P18" s="118">
        <f t="shared" si="30"/>
        <v>-0.5765716306096369</v>
      </c>
      <c r="Q18" s="118">
        <f>IF(P18&lt;0, 0, 0.00035*(10*P18/((1/COS(M$1))-0.8))^(3/(1+1/(DATOS!E$6))))</f>
        <v>0</v>
      </c>
      <c r="R18" s="118">
        <f t="shared" si="31"/>
        <v>134852.61962863454</v>
      </c>
      <c r="S18" s="118">
        <f t="shared" si="32"/>
        <v>1843583.4445818658</v>
      </c>
      <c r="T18" s="118">
        <f t="shared" si="7"/>
        <v>1.5580458961278383</v>
      </c>
      <c r="U18" s="118">
        <f t="shared" si="8"/>
        <v>0.1655861712608335</v>
      </c>
      <c r="V18" s="118">
        <f t="shared" si="9"/>
        <v>152635.96199408508</v>
      </c>
      <c r="W18" s="118">
        <f>EDisponible!D31</f>
        <v>0.22744663135696863</v>
      </c>
      <c r="X18" s="118">
        <f t="shared" si="33"/>
        <v>-0.57255336864303141</v>
      </c>
      <c r="Y18" s="118">
        <f>IF(X18&lt;0, 0, 0.00035*(10*X18/((1/COS(M$1))-0.8))^(3/(1+1/(DATOS!E$6))))</f>
        <v>0</v>
      </c>
      <c r="Z18" s="118">
        <f t="shared" si="34"/>
        <v>152635.96199408508</v>
      </c>
      <c r="AA18" s="118">
        <f t="shared" si="35"/>
        <v>1575484.8066942457</v>
      </c>
      <c r="AB18" s="118">
        <f t="shared" si="10"/>
        <v>1.8231769724437872</v>
      </c>
      <c r="AC18" s="118">
        <f t="shared" si="11"/>
        <v>0.22188916494206923</v>
      </c>
      <c r="AD18" s="118">
        <f t="shared" si="36"/>
        <v>174791.50406815176</v>
      </c>
      <c r="AE18" s="118">
        <f>EDisponible!E31</f>
        <v>0.23168979550784524</v>
      </c>
      <c r="AF18" s="118">
        <f t="shared" si="37"/>
        <v>-0.56831020449215486</v>
      </c>
      <c r="AG18" s="118">
        <f>IF(AF18&lt;0, 0, 0.00035*(10*AF18/((1/COS(M$1))-0.8))^(3/(1+1/(DATOS!E$6))))</f>
        <v>0</v>
      </c>
      <c r="AH18" s="118">
        <f t="shared" si="38"/>
        <v>174791.50406815176</v>
      </c>
      <c r="AI18" s="118">
        <f t="shared" si="39"/>
        <v>1338285.2716381545</v>
      </c>
      <c r="AJ18" s="118">
        <f t="shared" si="12"/>
        <v>2.1463193841205452</v>
      </c>
      <c r="AK18" s="118">
        <f t="shared" si="13"/>
        <v>0.30245045726812919</v>
      </c>
      <c r="AL18" s="118">
        <f t="shared" si="14"/>
        <v>202382.49618108117</v>
      </c>
      <c r="AM18" s="118">
        <f>EDisponible!F31</f>
        <v>0.23617965599929644</v>
      </c>
      <c r="AN18" s="118">
        <f t="shared" si="40"/>
        <v>-0.56382034400070358</v>
      </c>
      <c r="AO18" s="118">
        <f>IF(AN18&lt;0, 0, 0.00035*(10*AN18/((1/COS(M$1))-0.8))^(3/(1+1/(DATOS!E$6))))</f>
        <v>0</v>
      </c>
      <c r="AP18" s="118">
        <f t="shared" si="41"/>
        <v>202382.49618108117</v>
      </c>
      <c r="AQ18" s="118">
        <f t="shared" si="42"/>
        <v>1129425.3142621468</v>
      </c>
      <c r="AR18" s="118">
        <f t="shared" si="15"/>
        <v>2.5432293607448759</v>
      </c>
      <c r="AS18" s="118">
        <f t="shared" si="16"/>
        <v>0.41935196825804533</v>
      </c>
      <c r="AT18" s="118">
        <f t="shared" si="17"/>
        <v>236813.36426814634</v>
      </c>
      <c r="AU18" s="118">
        <f>EDisponible!G31</f>
        <v>0.24094108317614008</v>
      </c>
      <c r="AV18" s="118">
        <f t="shared" si="43"/>
        <v>-0.55905891682386</v>
      </c>
      <c r="AW18" s="118">
        <f>IF(AV18&lt;0, 0, 0.00035*(10*AV18/((1/COS(M$1))-0.8))^(3/(1+1/(DATOS!E$6))))</f>
        <v>0</v>
      </c>
      <c r="AX18" s="118">
        <f t="shared" si="18"/>
        <v>236813.36426814634</v>
      </c>
      <c r="AY18" s="118">
        <f t="shared" si="44"/>
        <v>946468.02521996503</v>
      </c>
      <c r="AZ18" s="118">
        <f t="shared" si="19"/>
        <v>3.034849084661301</v>
      </c>
      <c r="BA18" s="118">
        <f t="shared" si="20"/>
        <v>0.59158282855692212</v>
      </c>
      <c r="BB18" s="118">
        <f t="shared" si="21"/>
        <v>279957.11574915564</v>
      </c>
      <c r="BC18" s="118">
        <f>EDisponible!H31</f>
        <v>0.24600260532558332</v>
      </c>
      <c r="BD18" s="118">
        <f t="shared" si="45"/>
        <v>-0.55399739467441678</v>
      </c>
      <c r="BE18" s="118">
        <f>IF(BD18&lt;0, 0, 0.00035*(10*BD18/((1/COS(M$1))-0.8))^(3/(1+1/(DATOS!E$6))))</f>
        <v>0</v>
      </c>
      <c r="BF18" s="118">
        <f t="shared" si="22"/>
        <v>279957.11574915564</v>
      </c>
      <c r="BG18" s="118">
        <f t="shared" si="46"/>
        <v>787097.86538896186</v>
      </c>
      <c r="BH18" s="118">
        <f t="shared" si="23"/>
        <v>3.6493398677692337</v>
      </c>
      <c r="BI18" s="118">
        <f t="shared" si="24"/>
        <v>0.84954804252316996</v>
      </c>
      <c r="BJ18" s="118">
        <f t="shared" si="25"/>
        <v>334338.72540767904</v>
      </c>
      <c r="BK18" s="118">
        <f>EDisponible!I31</f>
        <v>0.25139713080830545</v>
      </c>
      <c r="BL18" s="118">
        <f t="shared" si="47"/>
        <v>-0.54860286919169465</v>
      </c>
      <c r="BM18" s="118">
        <f>IF(BL18&lt;0, 0, 0.00035*(10*BL18/((1/COS(M$1))-0.8))^(3/(1+1/(DATOS!E$6))))</f>
        <v>0</v>
      </c>
      <c r="BN18" s="118">
        <f t="shared" si="26"/>
        <v>334338.72540767904</v>
      </c>
    </row>
    <row r="19" spans="1:66">
      <c r="A19" s="41">
        <f>EDisponible!A32</f>
        <v>80</v>
      </c>
      <c r="B19" s="44"/>
      <c r="C19" s="118">
        <f t="shared" si="0"/>
        <v>2825485.0094599021</v>
      </c>
      <c r="D19" s="118">
        <f t="shared" si="1"/>
        <v>1.0165998440561763</v>
      </c>
      <c r="E19" s="118">
        <f t="shared" si="2"/>
        <v>7.8033434352325487E-2</v>
      </c>
      <c r="F19" s="118">
        <f t="shared" si="3"/>
        <v>110241.14949958451</v>
      </c>
      <c r="G19" s="118">
        <f>EDisponible!B32</f>
        <v>0.23425687372068463</v>
      </c>
      <c r="H19" s="118">
        <f t="shared" si="27"/>
        <v>-0.56574312627931544</v>
      </c>
      <c r="I19" s="118">
        <f>IF(H19&lt;0, 0, 0.00035*(10*H19/((1/COS(M$1))-0.8))^(3/(1+1/(DATOS!E$6))))</f>
        <v>0</v>
      </c>
      <c r="J19" s="118">
        <f t="shared" si="28"/>
        <v>110241.14949958451</v>
      </c>
      <c r="K19" s="118">
        <f t="shared" si="29"/>
        <v>2440834.3166262545</v>
      </c>
      <c r="L19" s="11">
        <f t="shared" si="4"/>
        <v>1.1768056522452712</v>
      </c>
      <c r="M19" s="118">
        <f t="shared" si="5"/>
        <v>0.10010302304661602</v>
      </c>
      <c r="N19" s="118">
        <f t="shared" si="6"/>
        <v>122167.4469251046</v>
      </c>
      <c r="O19" s="118">
        <f>EDisponible!C32</f>
        <v>0.23832359401638742</v>
      </c>
      <c r="P19" s="118">
        <f t="shared" si="30"/>
        <v>-0.56167640598361257</v>
      </c>
      <c r="Q19" s="118">
        <f>IF(P19&lt;0, 0, 0.00035*(10*P19/((1/COS(M$1))-0.8))^(3/(1+1/(DATOS!E$6))))</f>
        <v>0</v>
      </c>
      <c r="R19" s="118">
        <f t="shared" si="31"/>
        <v>122167.4469251046</v>
      </c>
      <c r="S19" s="118">
        <f t="shared" si="32"/>
        <v>2097588.2747242562</v>
      </c>
      <c r="T19" s="118">
        <f t="shared" si="7"/>
        <v>1.3693762758936079</v>
      </c>
      <c r="U19" s="118">
        <f t="shared" si="8"/>
        <v>0.13089776172452541</v>
      </c>
      <c r="V19" s="118">
        <f t="shared" si="9"/>
        <v>137284.80509050703</v>
      </c>
      <c r="W19" s="118">
        <f>EDisponible!D32</f>
        <v>0.24260974011409986</v>
      </c>
      <c r="X19" s="118">
        <f t="shared" si="33"/>
        <v>-0.55739025988590019</v>
      </c>
      <c r="Y19" s="118">
        <f>IF(X19&lt;0, 0, 0.00035*(10*X19/((1/COS(M$1))-0.8))^(3/(1+1/(DATOS!E$6))))</f>
        <v>0</v>
      </c>
      <c r="Z19" s="118">
        <f t="shared" si="34"/>
        <v>137284.80509050703</v>
      </c>
      <c r="AA19" s="118">
        <f t="shared" si="35"/>
        <v>1792551.6022832307</v>
      </c>
      <c r="AB19" s="118">
        <f t="shared" si="10"/>
        <v>1.6024016359369222</v>
      </c>
      <c r="AC19" s="118">
        <f t="shared" si="11"/>
        <v>0.17439048412309349</v>
      </c>
      <c r="AD19" s="118">
        <f t="shared" si="36"/>
        <v>156301.97086889978</v>
      </c>
      <c r="AE19" s="118">
        <f>EDisponible!E32</f>
        <v>0.24713578187503493</v>
      </c>
      <c r="AF19" s="118">
        <f t="shared" si="37"/>
        <v>-0.55286421812496511</v>
      </c>
      <c r="AG19" s="118">
        <f>IF(AF19&lt;0, 0, 0.00035*(10*AF19/((1/COS(M$1))-0.8))^(3/(1+1/(DATOS!E$6))))</f>
        <v>0</v>
      </c>
      <c r="AH19" s="118">
        <f t="shared" si="38"/>
        <v>156301.97086889978</v>
      </c>
      <c r="AI19" s="118">
        <f t="shared" si="39"/>
        <v>1522671.2423971891</v>
      </c>
      <c r="AJ19" s="118">
        <f t="shared" si="12"/>
        <v>1.8864135211996977</v>
      </c>
      <c r="AK19" s="118">
        <f t="shared" si="13"/>
        <v>0.2366221647872595</v>
      </c>
      <c r="AL19" s="118">
        <f t="shared" si="14"/>
        <v>180148.88281766442</v>
      </c>
      <c r="AM19" s="118">
        <f>EDisponible!F32</f>
        <v>0.25192496639924949</v>
      </c>
      <c r="AN19" s="118">
        <f t="shared" si="40"/>
        <v>-0.54807503360075049</v>
      </c>
      <c r="AO19" s="118">
        <f>IF(AN19&lt;0, 0, 0.00035*(10*AN19/((1/COS(M$1))-0.8))^(3/(1+1/(DATOS!E$6))))</f>
        <v>0</v>
      </c>
      <c r="AP19" s="118">
        <f t="shared" si="41"/>
        <v>180148.88281766442</v>
      </c>
      <c r="AQ19" s="118">
        <f t="shared" si="42"/>
        <v>1285035.0242271535</v>
      </c>
      <c r="AR19" s="118">
        <f t="shared" si="15"/>
        <v>2.2352601803421766</v>
      </c>
      <c r="AS19" s="118">
        <f t="shared" si="16"/>
        <v>0.32692579933719418</v>
      </c>
      <c r="AT19" s="118">
        <f t="shared" si="17"/>
        <v>210055.55123587642</v>
      </c>
      <c r="AU19" s="118">
        <f>EDisponible!G32</f>
        <v>0.25700382205454941</v>
      </c>
      <c r="AV19" s="118">
        <f t="shared" si="43"/>
        <v>-0.54299617794545063</v>
      </c>
      <c r="AW19" s="118">
        <f>IF(AV19&lt;0, 0, 0.00035*(10*AV19/((1/COS(M$1))-0.8))^(3/(1+1/(DATOS!E$6))))</f>
        <v>0</v>
      </c>
      <c r="AX19" s="118">
        <f t="shared" si="18"/>
        <v>210055.55123587642</v>
      </c>
      <c r="AY19" s="118">
        <f t="shared" si="44"/>
        <v>1076870.2864724935</v>
      </c>
      <c r="AZ19" s="118">
        <f t="shared" si="19"/>
        <v>2.6673478283155965</v>
      </c>
      <c r="BA19" s="118">
        <f t="shared" si="20"/>
        <v>0.45997003918446328</v>
      </c>
      <c r="BB19" s="118">
        <f t="shared" si="21"/>
        <v>247664.03393266854</v>
      </c>
      <c r="BC19" s="118">
        <f>EDisponible!H32</f>
        <v>0.26240277901395553</v>
      </c>
      <c r="BD19" s="118">
        <f t="shared" si="45"/>
        <v>-0.53759722098604446</v>
      </c>
      <c r="BE19" s="118">
        <f>IF(BD19&lt;0, 0, 0.00035*(10*BD19/((1/COS(M$1))-0.8))^(3/(1+1/(DATOS!E$6))))</f>
        <v>0</v>
      </c>
      <c r="BF19" s="118">
        <f t="shared" si="22"/>
        <v>247664.03393266854</v>
      </c>
      <c r="BG19" s="118">
        <f t="shared" si="46"/>
        <v>895542.46017588547</v>
      </c>
      <c r="BH19" s="118">
        <f t="shared" si="23"/>
        <v>3.2074276181565531</v>
      </c>
      <c r="BI19" s="118">
        <f t="shared" si="24"/>
        <v>0.65924202644400465</v>
      </c>
      <c r="BJ19" s="118">
        <f t="shared" si="25"/>
        <v>295189.61310650001</v>
      </c>
      <c r="BK19" s="118">
        <f>EDisponible!I32</f>
        <v>0.26815693952885916</v>
      </c>
      <c r="BL19" s="118">
        <f t="shared" si="47"/>
        <v>-0.53184306047114083</v>
      </c>
      <c r="BM19" s="118">
        <f>IF(BL19&lt;0, 0, 0.00035*(10*BL19/((1/COS(M$1))-0.8))^(3/(1+1/(DATOS!E$6))))</f>
        <v>0</v>
      </c>
      <c r="BN19" s="118">
        <f t="shared" si="26"/>
        <v>295189.61310650001</v>
      </c>
    </row>
    <row r="20" spans="1:66">
      <c r="A20" s="41">
        <f>EDisponible!A33</f>
        <v>85</v>
      </c>
      <c r="B20" s="44"/>
      <c r="C20" s="118">
        <f t="shared" si="0"/>
        <v>3189707.6864605928</v>
      </c>
      <c r="D20" s="118">
        <f t="shared" si="1"/>
        <v>0.90051750892173388</v>
      </c>
      <c r="E20" s="118">
        <f t="shared" si="2"/>
        <v>6.4056501171827096E-2</v>
      </c>
      <c r="F20" s="118">
        <f t="shared" si="3"/>
        <v>102160.75707777443</v>
      </c>
      <c r="G20" s="118">
        <f>EDisponible!B33</f>
        <v>0.24889792832822741</v>
      </c>
      <c r="H20" s="118">
        <f t="shared" si="27"/>
        <v>-0.55110207167177261</v>
      </c>
      <c r="I20" s="118">
        <f>IF(H20&lt;0, 0, 0.00035*(10*H20/((1/COS(M$1))-0.8))^(3/(1+1/(DATOS!E$6))))</f>
        <v>0</v>
      </c>
      <c r="J20" s="118">
        <f t="shared" si="28"/>
        <v>102160.75707777443</v>
      </c>
      <c r="K20" s="118">
        <f t="shared" si="29"/>
        <v>2755473.1152538573</v>
      </c>
      <c r="L20" s="11">
        <f t="shared" si="4"/>
        <v>1.0424299203279912</v>
      </c>
      <c r="M20" s="118">
        <f t="shared" si="5"/>
        <v>8.137373354056103E-2</v>
      </c>
      <c r="N20" s="118">
        <f t="shared" si="6"/>
        <v>112111.5675294235</v>
      </c>
      <c r="O20" s="118">
        <f>EDisponible!C33</f>
        <v>0.25321881864241164</v>
      </c>
      <c r="P20" s="118">
        <f t="shared" si="30"/>
        <v>-0.54678118135758846</v>
      </c>
      <c r="Q20" s="118">
        <f>IF(P20&lt;0, 0, 0.00035*(10*P20/((1/COS(M$1))-0.8))^(3/(1+1/(DATOS!E$6))))</f>
        <v>0</v>
      </c>
      <c r="R20" s="118">
        <f t="shared" si="31"/>
        <v>112111.5675294235</v>
      </c>
      <c r="S20" s="118">
        <f t="shared" si="32"/>
        <v>2367980.5132629299</v>
      </c>
      <c r="T20" s="118">
        <f t="shared" si="7"/>
        <v>1.2130115108261716</v>
      </c>
      <c r="U20" s="118">
        <f t="shared" si="8"/>
        <v>0.10553728515028157</v>
      </c>
      <c r="V20" s="118">
        <f t="shared" si="9"/>
        <v>124955.11732926997</v>
      </c>
      <c r="W20" s="118">
        <f>EDisponible!D33</f>
        <v>0.25777284887123109</v>
      </c>
      <c r="X20" s="118">
        <f t="shared" si="33"/>
        <v>-0.54222715112876896</v>
      </c>
      <c r="Y20" s="118">
        <f>IF(X20&lt;0, 0, 0.00035*(10*X20/((1/COS(M$1))-0.8))^(3/(1+1/(DATOS!E$6))))</f>
        <v>0</v>
      </c>
      <c r="Z20" s="118">
        <f t="shared" si="34"/>
        <v>124955.11732926997</v>
      </c>
      <c r="AA20" s="118">
        <f t="shared" si="35"/>
        <v>2023622.7072650536</v>
      </c>
      <c r="AB20" s="118">
        <f t="shared" si="10"/>
        <v>1.4194284387538134</v>
      </c>
      <c r="AC20" s="118">
        <f t="shared" si="11"/>
        <v>0.13966449932531008</v>
      </c>
      <c r="AD20" s="118">
        <f t="shared" si="36"/>
        <v>141314.12611675111</v>
      </c>
      <c r="AE20" s="118">
        <f>EDisponible!E33</f>
        <v>0.26258176824222462</v>
      </c>
      <c r="AF20" s="118">
        <f t="shared" si="37"/>
        <v>-0.53741823175777537</v>
      </c>
      <c r="AG20" s="118">
        <f>IF(AF20&lt;0, 0, 0.00035*(10*AF20/((1/COS(M$1))-0.8))^(3/(1+1/(DATOS!E$6))))</f>
        <v>0</v>
      </c>
      <c r="AH20" s="118">
        <f t="shared" si="38"/>
        <v>141314.12611675111</v>
      </c>
      <c r="AI20" s="118">
        <f t="shared" si="39"/>
        <v>1718953.0822374518</v>
      </c>
      <c r="AJ20" s="118">
        <f t="shared" si="12"/>
        <v>1.6710099011319122</v>
      </c>
      <c r="AK20" s="118">
        <f t="shared" si="13"/>
        <v>0.18849551696167441</v>
      </c>
      <c r="AL20" s="118">
        <f t="shared" si="14"/>
        <v>162007.47493460606</v>
      </c>
      <c r="AM20" s="118">
        <f>EDisponible!F33</f>
        <v>0.26767027679920263</v>
      </c>
      <c r="AN20" s="118">
        <f t="shared" si="40"/>
        <v>-0.53232972320079741</v>
      </c>
      <c r="AO20" s="118">
        <f>IF(AN20&lt;0, 0, 0.00035*(10*AN20/((1/COS(M$1))-0.8))^(3/(1+1/(DATOS!E$6))))</f>
        <v>0</v>
      </c>
      <c r="AP20" s="118">
        <f t="shared" si="41"/>
        <v>162007.47493460606</v>
      </c>
      <c r="AQ20" s="118">
        <f t="shared" si="42"/>
        <v>1450684.070318935</v>
      </c>
      <c r="AR20" s="118">
        <f t="shared" si="15"/>
        <v>1.9800228587114088</v>
      </c>
      <c r="AS20" s="118">
        <f t="shared" si="16"/>
        <v>0.25935361245699307</v>
      </c>
      <c r="AT20" s="118">
        <f t="shared" si="17"/>
        <v>188120.07708551516</v>
      </c>
      <c r="AU20" s="118">
        <f>EDisponible!G33</f>
        <v>0.27306656093295878</v>
      </c>
      <c r="AV20" s="118">
        <f t="shared" si="43"/>
        <v>-0.52693343906704126</v>
      </c>
      <c r="AW20" s="118">
        <f>IF(AV20&lt;0, 0, 0.00035*(10*AV20/((1/COS(M$1))-0.8))^(3/(1+1/(DATOS!E$6))))</f>
        <v>0</v>
      </c>
      <c r="AX20" s="118">
        <f t="shared" si="18"/>
        <v>188120.07708551516</v>
      </c>
      <c r="AY20" s="118">
        <f t="shared" si="44"/>
        <v>1215685.5968380882</v>
      </c>
      <c r="AZ20" s="118">
        <f t="shared" si="19"/>
        <v>2.3627717787155462</v>
      </c>
      <c r="BA20" s="118">
        <f t="shared" si="20"/>
        <v>0.36374876221131414</v>
      </c>
      <c r="BB20" s="118">
        <f t="shared" si="21"/>
        <v>221102.06554398863</v>
      </c>
      <c r="BC20" s="118">
        <f>EDisponible!H33</f>
        <v>0.27880295270232774</v>
      </c>
      <c r="BD20" s="118">
        <f t="shared" si="45"/>
        <v>-0.52119704729767236</v>
      </c>
      <c r="BE20" s="118">
        <f>IF(BD20&lt;0, 0, 0.00035*(10*BD20/((1/COS(M$1))-0.8))^(3/(1+1/(DATOS!E$6))))</f>
        <v>0</v>
      </c>
      <c r="BF20" s="118">
        <f t="shared" si="22"/>
        <v>221102.06554398863</v>
      </c>
      <c r="BG20" s="118">
        <f t="shared" si="46"/>
        <v>1010983.4804329333</v>
      </c>
      <c r="BH20" s="118">
        <f t="shared" si="23"/>
        <v>2.8411815579518254</v>
      </c>
      <c r="BI20" s="118">
        <f t="shared" si="24"/>
        <v>0.52011050305542861</v>
      </c>
      <c r="BJ20" s="118">
        <f t="shared" si="25"/>
        <v>262911.56329435052</v>
      </c>
      <c r="BK20" s="118">
        <f>EDisponible!I33</f>
        <v>0.28491674824941282</v>
      </c>
      <c r="BL20" s="118">
        <f t="shared" si="47"/>
        <v>-0.51508325175058722</v>
      </c>
      <c r="BM20" s="118">
        <f>IF(BL20&lt;0, 0, 0.00035*(10*BL20/((1/COS(M$1))-0.8))^(3/(1+1/(DATOS!E$6))))</f>
        <v>0</v>
      </c>
      <c r="BN20" s="118">
        <f t="shared" si="26"/>
        <v>262911.56329435052</v>
      </c>
    </row>
    <row r="21" spans="1:66">
      <c r="A21" s="41">
        <f>EDisponible!A34</f>
        <v>90</v>
      </c>
      <c r="B21" s="44"/>
      <c r="C21" s="118">
        <f t="shared" si="0"/>
        <v>3576004.4650976886</v>
      </c>
      <c r="D21" s="118">
        <f t="shared" si="1"/>
        <v>0.80323938295796637</v>
      </c>
      <c r="E21" s="118">
        <f t="shared" si="2"/>
        <v>5.3647240704651905E-2</v>
      </c>
      <c r="F21" s="118">
        <f t="shared" si="3"/>
        <v>95921.386150002843</v>
      </c>
      <c r="G21" s="118">
        <f>EDisponible!B34</f>
        <v>0.26353898293577022</v>
      </c>
      <c r="H21" s="118">
        <f t="shared" si="27"/>
        <v>-0.53646101706422988</v>
      </c>
      <c r="I21" s="118">
        <f>IF(H21&lt;0, 0, 0.00035*(10*H21/((1/COS(M$1))-0.8))^(3/(1+1/(DATOS!E$6))))</f>
        <v>0</v>
      </c>
      <c r="J21" s="118">
        <f t="shared" si="28"/>
        <v>95921.386150002843</v>
      </c>
      <c r="K21" s="118">
        <f t="shared" si="29"/>
        <v>3089180.9319801028</v>
      </c>
      <c r="L21" s="11">
        <f t="shared" si="4"/>
        <v>0.92982174992218969</v>
      </c>
      <c r="M21" s="118">
        <f t="shared" si="5"/>
        <v>6.7425176277249699E-2</v>
      </c>
      <c r="N21" s="118">
        <f t="shared" si="6"/>
        <v>104144.28444553848</v>
      </c>
      <c r="O21" s="118">
        <f>EDisponible!C34</f>
        <v>0.26811404326843585</v>
      </c>
      <c r="P21" s="118">
        <f t="shared" si="30"/>
        <v>-0.53188595673156414</v>
      </c>
      <c r="Q21" s="118">
        <f>IF(P21&lt;0, 0, 0.00035*(10*P21/((1/COS(M$1))-0.8))^(3/(1+1/(DATOS!E$6))))</f>
        <v>0</v>
      </c>
      <c r="R21" s="118">
        <f t="shared" si="31"/>
        <v>104144.28444553848</v>
      </c>
      <c r="S21" s="118">
        <f t="shared" si="32"/>
        <v>2654760.1601978866</v>
      </c>
      <c r="T21" s="118">
        <f t="shared" si="7"/>
        <v>1.0819763167554433</v>
      </c>
      <c r="U21" s="118">
        <f t="shared" si="8"/>
        <v>8.665018003044539E-2</v>
      </c>
      <c r="V21" s="118">
        <f t="shared" si="9"/>
        <v>115017.72290940046</v>
      </c>
      <c r="W21" s="118">
        <f>EDisponible!D34</f>
        <v>0.27293595762836237</v>
      </c>
      <c r="X21" s="118">
        <f t="shared" si="33"/>
        <v>-0.52706404237163773</v>
      </c>
      <c r="Y21" s="118">
        <f>IF(X21&lt;0, 0, 0.00035*(10*X21/((1/COS(M$1))-0.8))^(3/(1+1/(DATOS!E$6))))</f>
        <v>0</v>
      </c>
      <c r="Z21" s="118">
        <f t="shared" si="34"/>
        <v>115017.72290940046</v>
      </c>
      <c r="AA21" s="118">
        <f t="shared" si="35"/>
        <v>2268698.1216397141</v>
      </c>
      <c r="AB21" s="118">
        <f t="shared" si="10"/>
        <v>1.2660951197526298</v>
      </c>
      <c r="AC21" s="118">
        <f t="shared" si="11"/>
        <v>0.11380247250789313</v>
      </c>
      <c r="AD21" s="118">
        <f t="shared" si="36"/>
        <v>129091.72780830618</v>
      </c>
      <c r="AE21" s="118">
        <f>EDisponible!E34</f>
        <v>0.27802775460941431</v>
      </c>
      <c r="AF21" s="118">
        <f t="shared" si="37"/>
        <v>-0.52197224539058573</v>
      </c>
      <c r="AG21" s="118">
        <f>IF(AF21&lt;0, 0, 0.00035*(10*AF21/((1/COS(M$1))-0.8))^(3/(1+1/(DATOS!E$6))))</f>
        <v>0</v>
      </c>
      <c r="AH21" s="118">
        <f t="shared" si="38"/>
        <v>129091.72780830618</v>
      </c>
      <c r="AI21" s="118">
        <f t="shared" si="39"/>
        <v>1927130.7911589425</v>
      </c>
      <c r="AJ21" s="118">
        <f t="shared" si="12"/>
        <v>1.490499572305934</v>
      </c>
      <c r="AK21" s="118">
        <f t="shared" si="13"/>
        <v>0.15265340437809952</v>
      </c>
      <c r="AL21" s="118">
        <f t="shared" si="14"/>
        <v>147091.53797613646</v>
      </c>
      <c r="AM21" s="118">
        <f>EDisponible!F34</f>
        <v>0.28341558719915572</v>
      </c>
      <c r="AN21" s="118">
        <f t="shared" si="40"/>
        <v>-0.51658441280084433</v>
      </c>
      <c r="AO21" s="118">
        <f>IF(AN21&lt;0, 0, 0.00035*(10*AN21/((1/COS(M$1))-0.8))^(3/(1+1/(DATOS!E$6))))</f>
        <v>0</v>
      </c>
      <c r="AP21" s="118">
        <f t="shared" si="41"/>
        <v>147091.53797613646</v>
      </c>
      <c r="AQ21" s="118">
        <f t="shared" si="42"/>
        <v>1626372.4525374912</v>
      </c>
      <c r="AR21" s="118">
        <f t="shared" si="15"/>
        <v>1.7661315005172751</v>
      </c>
      <c r="AS21" s="118">
        <f t="shared" si="16"/>
        <v>0.20902951886011933</v>
      </c>
      <c r="AT21" s="118">
        <f t="shared" si="17"/>
        <v>169979.92562063204</v>
      </c>
      <c r="AU21" s="118">
        <f>EDisponible!G34</f>
        <v>0.28912929981136809</v>
      </c>
      <c r="AV21" s="118">
        <f t="shared" si="43"/>
        <v>-0.5108707001886319</v>
      </c>
      <c r="AW21" s="118">
        <f>IF(AV21&lt;0, 0, 0.00035*(10*AV21/((1/COS(M$1))-0.8))^(3/(1+1/(DATOS!E$6))))</f>
        <v>0</v>
      </c>
      <c r="AX21" s="118">
        <f t="shared" si="18"/>
        <v>169979.92562063204</v>
      </c>
      <c r="AY21" s="118">
        <f t="shared" si="44"/>
        <v>1362913.9563167496</v>
      </c>
      <c r="AZ21" s="118">
        <f t="shared" si="19"/>
        <v>2.107534086570348</v>
      </c>
      <c r="BA21" s="118">
        <f t="shared" si="20"/>
        <v>0.29208838281598198</v>
      </c>
      <c r="BB21" s="118">
        <f t="shared" si="21"/>
        <v>199045.66670894565</v>
      </c>
      <c r="BC21" s="118">
        <f>EDisponible!H34</f>
        <v>0.29520312639070001</v>
      </c>
      <c r="BD21" s="118">
        <f t="shared" si="45"/>
        <v>-0.50479687360930003</v>
      </c>
      <c r="BE21" s="118">
        <f>IF(BD21&lt;0, 0, 0.00035*(10*BD21/((1/COS(M$1))-0.8))^(3/(1+1/(DATOS!E$6))))</f>
        <v>0</v>
      </c>
      <c r="BF21" s="118">
        <f t="shared" si="22"/>
        <v>199045.66670894565</v>
      </c>
      <c r="BG21" s="118">
        <f t="shared" si="46"/>
        <v>1133420.926160105</v>
      </c>
      <c r="BH21" s="118">
        <f t="shared" si="23"/>
        <v>2.5342637970619677</v>
      </c>
      <c r="BI21" s="118">
        <f t="shared" si="24"/>
        <v>0.4164929034401369</v>
      </c>
      <c r="BJ21" s="118">
        <f t="shared" si="25"/>
        <v>236030.88617811559</v>
      </c>
      <c r="BK21" s="118">
        <f>EDisponible!I34</f>
        <v>0.30167655696996654</v>
      </c>
      <c r="BL21" s="118">
        <f t="shared" si="47"/>
        <v>-0.49832344303003351</v>
      </c>
      <c r="BM21" s="118">
        <f>IF(BL21&lt;0, 0, 0.00035*(10*BL21/((1/COS(M$1))-0.8))^(3/(1+1/(DATOS!E$6))))</f>
        <v>0</v>
      </c>
      <c r="BN21" s="118">
        <f t="shared" si="26"/>
        <v>236030.88617811559</v>
      </c>
    </row>
    <row r="22" spans="1:66">
      <c r="A22" s="41">
        <f>EDisponible!A35</f>
        <v>95</v>
      </c>
      <c r="B22" s="44"/>
      <c r="C22" s="118">
        <f t="shared" si="0"/>
        <v>3984375.34537119</v>
      </c>
      <c r="D22" s="118">
        <f t="shared" si="1"/>
        <v>0.72091290880437986</v>
      </c>
      <c r="E22" s="118">
        <f t="shared" si="2"/>
        <v>4.576653818192597E-2</v>
      </c>
      <c r="F22" s="118">
        <f t="shared" si="3"/>
        <v>91175.533187527515</v>
      </c>
      <c r="G22" s="118">
        <f>EDisponible!B35</f>
        <v>0.278180037543313</v>
      </c>
      <c r="H22" s="118">
        <f t="shared" si="27"/>
        <v>-0.52181996245668705</v>
      </c>
      <c r="I22" s="118">
        <f>IF(H22&lt;0, 0, 0.00035*(10*H22/((1/COS(M$1))-0.8))^(3/(1+1/(DATOS!E$6))))</f>
        <v>0</v>
      </c>
      <c r="J22" s="118">
        <f t="shared" si="28"/>
        <v>91175.533187527515</v>
      </c>
      <c r="K22" s="118">
        <f t="shared" si="29"/>
        <v>3441957.7668049918</v>
      </c>
      <c r="L22" s="11">
        <f t="shared" si="4"/>
        <v>0.83452145976395964</v>
      </c>
      <c r="M22" s="118">
        <f t="shared" si="5"/>
        <v>5.6864922668455574E-2</v>
      </c>
      <c r="N22" s="118">
        <f t="shared" si="6"/>
        <v>97863.331118727947</v>
      </c>
      <c r="O22" s="118">
        <f>EDisponible!C35</f>
        <v>0.28300926789446007</v>
      </c>
      <c r="P22" s="118">
        <f t="shared" si="30"/>
        <v>-0.51699073210554003</v>
      </c>
      <c r="Q22" s="118">
        <f>IF(P22&lt;0, 0, 0.00035*(10*P22/((1/COS(M$1))-0.8))^(3/(1+1/(DATOS!E$6))))</f>
        <v>0</v>
      </c>
      <c r="R22" s="118">
        <f t="shared" si="31"/>
        <v>97863.331118727947</v>
      </c>
      <c r="S22" s="118">
        <f t="shared" si="32"/>
        <v>2957927.2155291266</v>
      </c>
      <c r="T22" s="118">
        <f t="shared" si="7"/>
        <v>0.97108123719879136</v>
      </c>
      <c r="U22" s="118">
        <f t="shared" si="8"/>
        <v>7.2351022330025647E-2</v>
      </c>
      <c r="V22" s="118">
        <f t="shared" si="9"/>
        <v>107004.52901066921</v>
      </c>
      <c r="W22" s="118">
        <f>EDisponible!D35</f>
        <v>0.2880990663854936</v>
      </c>
      <c r="X22" s="118">
        <f t="shared" si="33"/>
        <v>-0.51190093361450639</v>
      </c>
      <c r="Y22" s="118">
        <f>IF(X22&lt;0, 0, 0.00035*(10*X22/((1/COS(M$1))-0.8))^(3/(1+1/(DATOS!E$6))))</f>
        <v>0</v>
      </c>
      <c r="Z22" s="118">
        <f t="shared" si="34"/>
        <v>107004.52901066921</v>
      </c>
      <c r="AA22" s="118">
        <f t="shared" si="35"/>
        <v>2527777.8454072122</v>
      </c>
      <c r="AB22" s="118">
        <f t="shared" si="10"/>
        <v>1.1363291379497287</v>
      </c>
      <c r="AC22" s="118">
        <f t="shared" si="11"/>
        <v>9.4222701147043258E-2</v>
      </c>
      <c r="AD22" s="118">
        <f t="shared" si="36"/>
        <v>119087.02824696033</v>
      </c>
      <c r="AE22" s="118">
        <f>EDisponible!E35</f>
        <v>0.29347374097660395</v>
      </c>
      <c r="AF22" s="118">
        <f t="shared" si="37"/>
        <v>-0.5065262590233961</v>
      </c>
      <c r="AG22" s="118">
        <f>IF(AF22&lt;0, 0, 0.00035*(10*AF22/((1/COS(M$1))-0.8))^(3/(1+1/(DATOS!E$6))))</f>
        <v>0</v>
      </c>
      <c r="AH22" s="118">
        <f t="shared" si="38"/>
        <v>119087.02824696033</v>
      </c>
      <c r="AI22" s="118">
        <f t="shared" si="39"/>
        <v>2147204.3691616612</v>
      </c>
      <c r="AJ22" s="118">
        <f t="shared" si="12"/>
        <v>1.3377336881637747</v>
      </c>
      <c r="AK22" s="118">
        <f t="shared" si="13"/>
        <v>0.12551785253482256</v>
      </c>
      <c r="AL22" s="118">
        <f t="shared" si="14"/>
        <v>134756.24068528006</v>
      </c>
      <c r="AM22" s="118">
        <f>EDisponible!F35</f>
        <v>0.2991608975991088</v>
      </c>
      <c r="AN22" s="118">
        <f t="shared" si="40"/>
        <v>-0.50083910240089125</v>
      </c>
      <c r="AO22" s="118">
        <f>IF(AN22&lt;0, 0, 0.00035*(10*AN22/((1/COS(M$1))-0.8))^(3/(1+1/(DATOS!E$6))))</f>
        <v>0</v>
      </c>
      <c r="AP22" s="118">
        <f t="shared" si="41"/>
        <v>134756.24068528006</v>
      </c>
      <c r="AQ22" s="118">
        <f t="shared" si="42"/>
        <v>1812100.170882822</v>
      </c>
      <c r="AR22" s="118">
        <f t="shared" si="15"/>
        <v>1.5851152525418204</v>
      </c>
      <c r="AS22" s="118">
        <f t="shared" si="16"/>
        <v>0.17092986590077675</v>
      </c>
      <c r="AT22" s="118">
        <f t="shared" si="17"/>
        <v>154871.01960388769</v>
      </c>
      <c r="AU22" s="118">
        <f>EDisponible!G35</f>
        <v>0.30519203868977746</v>
      </c>
      <c r="AV22" s="118">
        <f t="shared" si="43"/>
        <v>-0.49480796131022259</v>
      </c>
      <c r="AW22" s="118">
        <f>IF(AV22&lt;0, 0, 0.00035*(10*AV22/((1/COS(M$1))-0.8))^(3/(1+1/(DATOS!E$6))))</f>
        <v>0</v>
      </c>
      <c r="AX22" s="118">
        <f t="shared" si="18"/>
        <v>154871.01960388769</v>
      </c>
      <c r="AY22" s="118">
        <f t="shared" si="44"/>
        <v>1518555.3649084773</v>
      </c>
      <c r="AZ22" s="118">
        <f t="shared" si="19"/>
        <v>1.8915264378082901</v>
      </c>
      <c r="BA22" s="118">
        <f t="shared" si="20"/>
        <v>0.23783533242290772</v>
      </c>
      <c r="BB22" s="118">
        <f t="shared" si="21"/>
        <v>180583.06000779881</v>
      </c>
      <c r="BC22" s="118">
        <f>EDisponible!H35</f>
        <v>0.31160330007907222</v>
      </c>
      <c r="BD22" s="118">
        <f t="shared" si="45"/>
        <v>-0.48839669992092782</v>
      </c>
      <c r="BE22" s="118">
        <f>IF(BD22&lt;0, 0, 0.00035*(10*BD22/((1/COS(M$1))-0.8))^(3/(1+1/(DATOS!E$6))))</f>
        <v>0</v>
      </c>
      <c r="BF22" s="118">
        <f t="shared" si="22"/>
        <v>180583.06000779881</v>
      </c>
      <c r="BG22" s="118">
        <f t="shared" si="46"/>
        <v>1262854.7973574011</v>
      </c>
      <c r="BH22" s="118">
        <f t="shared" si="23"/>
        <v>2.2745193081664197</v>
      </c>
      <c r="BI22" s="118">
        <f t="shared" si="24"/>
        <v>0.33804549776112097</v>
      </c>
      <c r="BJ22" s="118">
        <f t="shared" si="25"/>
        <v>213451.18928635112</v>
      </c>
      <c r="BK22" s="118">
        <f>EDisponible!I35</f>
        <v>0.31843636569052025</v>
      </c>
      <c r="BL22" s="118">
        <f t="shared" si="47"/>
        <v>-0.48156363430947979</v>
      </c>
      <c r="BM22" s="118">
        <f>IF(BL22&lt;0, 0, 0.00035*(10*BL22/((1/COS(M$1))-0.8))^(3/(1+1/(DATOS!E$6))))</f>
        <v>0</v>
      </c>
      <c r="BN22" s="118">
        <f t="shared" si="26"/>
        <v>213451.18928635112</v>
      </c>
    </row>
    <row r="23" spans="1:66">
      <c r="A23" s="41">
        <f>EDisponible!A36</f>
        <v>100</v>
      </c>
      <c r="B23" s="44"/>
      <c r="C23" s="118">
        <f t="shared" si="0"/>
        <v>4414820.327281097</v>
      </c>
      <c r="D23" s="118">
        <f t="shared" si="1"/>
        <v>0.65062390019595284</v>
      </c>
      <c r="E23" s="118">
        <f t="shared" si="2"/>
        <v>3.9711847790533661E-2</v>
      </c>
      <c r="F23" s="118">
        <f t="shared" si="3"/>
        <v>87660.336429770468</v>
      </c>
      <c r="G23" s="118">
        <f>EDisponible!B36</f>
        <v>0.29282109215085578</v>
      </c>
      <c r="H23" s="118">
        <f t="shared" si="27"/>
        <v>-0.50717890784914421</v>
      </c>
      <c r="I23" s="118">
        <f>IF(H23&lt;0, 0, 0.00035*(10*H23/((1/COS(M$1))-0.8))^(3/(1+1/(DATOS!E$6))))</f>
        <v>0</v>
      </c>
      <c r="J23" s="118">
        <f t="shared" si="28"/>
        <v>87660.336429770468</v>
      </c>
      <c r="K23" s="118">
        <f t="shared" si="29"/>
        <v>3813803.6197285228</v>
      </c>
      <c r="L23" s="11">
        <f t="shared" si="4"/>
        <v>0.75315561743697346</v>
      </c>
      <c r="M23" s="118">
        <f t="shared" si="5"/>
        <v>4.8751551319715043E-2</v>
      </c>
      <c r="N23" s="118">
        <f t="shared" si="6"/>
        <v>92964.421445255037</v>
      </c>
      <c r="O23" s="118">
        <f>EDisponible!C36</f>
        <v>0.29790449252048429</v>
      </c>
      <c r="P23" s="118">
        <f t="shared" si="30"/>
        <v>-0.5020955074795157</v>
      </c>
      <c r="Q23" s="118">
        <f>IF(P23&lt;0, 0, 0.00035*(10*P23/((1/COS(M$1))-0.8))^(3/(1+1/(DATOS!E$6))))</f>
        <v>0</v>
      </c>
      <c r="R23" s="118">
        <f t="shared" si="31"/>
        <v>92964.421445255037</v>
      </c>
      <c r="S23" s="118">
        <f t="shared" si="32"/>
        <v>3277481.6792566502</v>
      </c>
      <c r="T23" s="118">
        <f t="shared" si="7"/>
        <v>0.87640081657190916</v>
      </c>
      <c r="U23" s="118">
        <f t="shared" si="8"/>
        <v>6.1365076282186758E-2</v>
      </c>
      <c r="V23" s="118">
        <f t="shared" si="9"/>
        <v>100561.45663052694</v>
      </c>
      <c r="W23" s="118">
        <f>EDisponible!D36</f>
        <v>0.30326217514262482</v>
      </c>
      <c r="X23" s="118">
        <f t="shared" si="33"/>
        <v>-0.49673782485737522</v>
      </c>
      <c r="Y23" s="118">
        <f>IF(X23&lt;0, 0, 0.00035*(10*X23/((1/COS(M$1))-0.8))^(3/(1+1/(DATOS!E$6))))</f>
        <v>0</v>
      </c>
      <c r="Z23" s="118">
        <f t="shared" si="34"/>
        <v>100561.45663052694</v>
      </c>
      <c r="AA23" s="118">
        <f t="shared" si="35"/>
        <v>2800861.878567548</v>
      </c>
      <c r="AB23" s="118">
        <f t="shared" si="10"/>
        <v>1.0255370469996303</v>
      </c>
      <c r="AC23" s="118">
        <f t="shared" si="11"/>
        <v>7.9179695376640255E-2</v>
      </c>
      <c r="AD23" s="118">
        <f t="shared" si="36"/>
        <v>110885.6951685114</v>
      </c>
      <c r="AE23" s="118">
        <f>EDisponible!E36</f>
        <v>0.30891972734379364</v>
      </c>
      <c r="AF23" s="118">
        <f t="shared" si="37"/>
        <v>-0.49108027265620641</v>
      </c>
      <c r="AG23" s="118">
        <f>IF(AF23&lt;0, 0, 0.00035*(10*AF23/((1/COS(M$1))-0.8))^(3/(1+1/(DATOS!E$6))))</f>
        <v>0</v>
      </c>
      <c r="AH23" s="118">
        <f t="shared" si="38"/>
        <v>110885.6951685114</v>
      </c>
      <c r="AI23" s="118">
        <f t="shared" si="39"/>
        <v>2379173.816245608</v>
      </c>
      <c r="AJ23" s="118">
        <f t="shared" si="12"/>
        <v>1.2073046535678065</v>
      </c>
      <c r="AK23" s="118">
        <f t="shared" si="13"/>
        <v>0.10466979177668263</v>
      </c>
      <c r="AL23" s="118">
        <f t="shared" si="14"/>
        <v>124513.81397348159</v>
      </c>
      <c r="AM23" s="118">
        <f>EDisponible!F36</f>
        <v>0.31490620799906188</v>
      </c>
      <c r="AN23" s="118">
        <f t="shared" si="40"/>
        <v>-0.48509379200093816</v>
      </c>
      <c r="AO23" s="118">
        <f>IF(AN23&lt;0, 0, 0.00035*(10*AN23/((1/COS(M$1))-0.8))^(3/(1+1/(DATOS!E$6))))</f>
        <v>0</v>
      </c>
      <c r="AP23" s="118">
        <f t="shared" si="41"/>
        <v>124513.81397348159</v>
      </c>
      <c r="AQ23" s="118">
        <f t="shared" si="42"/>
        <v>2007867.2253549274</v>
      </c>
      <c r="AR23" s="118">
        <f t="shared" si="15"/>
        <v>1.4305665154189928</v>
      </c>
      <c r="AS23" s="118">
        <f t="shared" si="16"/>
        <v>0.14165816048833585</v>
      </c>
      <c r="AT23" s="118">
        <f t="shared" si="17"/>
        <v>142215.38882429895</v>
      </c>
      <c r="AU23" s="118">
        <f>EDisponible!G36</f>
        <v>0.32125477756818677</v>
      </c>
      <c r="AV23" s="118">
        <f t="shared" si="43"/>
        <v>-0.47874522243181328</v>
      </c>
      <c r="AW23" s="118">
        <f>IF(AV23&lt;0, 0, 0.00035*(10*AV23/((1/COS(M$1))-0.8))^(3/(1+1/(DATOS!E$6))))</f>
        <v>0</v>
      </c>
      <c r="AX23" s="118">
        <f t="shared" si="18"/>
        <v>142215.38882429895</v>
      </c>
      <c r="AY23" s="118">
        <f t="shared" si="44"/>
        <v>1682609.822613271</v>
      </c>
      <c r="AZ23" s="118">
        <f t="shared" si="19"/>
        <v>1.7071026101219822</v>
      </c>
      <c r="BA23" s="118">
        <f t="shared" si="20"/>
        <v>0.19615308112977739</v>
      </c>
      <c r="BB23" s="118">
        <f t="shared" si="21"/>
        <v>165024.55052241063</v>
      </c>
      <c r="BC23" s="118">
        <f>EDisponible!H36</f>
        <v>0.32800347376744443</v>
      </c>
      <c r="BD23" s="118">
        <f t="shared" si="45"/>
        <v>-0.47199652623255561</v>
      </c>
      <c r="BE23" s="118">
        <f>IF(BD23&lt;0, 0, 0.00035*(10*BD23/((1/COS(M$1))-0.8))^(3/(1+1/(DATOS!E$6))))</f>
        <v>0</v>
      </c>
      <c r="BF23" s="118">
        <f t="shared" si="22"/>
        <v>165024.55052241063</v>
      </c>
      <c r="BG23" s="118">
        <f t="shared" si="46"/>
        <v>1399285.0940248212</v>
      </c>
      <c r="BH23" s="118">
        <f t="shared" si="23"/>
        <v>2.0527536756201936</v>
      </c>
      <c r="BI23" s="118">
        <f t="shared" si="24"/>
        <v>0.27777488711128534</v>
      </c>
      <c r="BJ23" s="118">
        <f t="shared" si="25"/>
        <v>194343.12951462451</v>
      </c>
      <c r="BK23" s="118">
        <f>EDisponible!I36</f>
        <v>0.33519617441107391</v>
      </c>
      <c r="BL23" s="118">
        <f t="shared" si="47"/>
        <v>-0.46480382558892613</v>
      </c>
      <c r="BM23" s="118">
        <f>IF(BL23&lt;0, 0, 0.00035*(10*BL23/((1/COS(M$1))-0.8))^(3/(1+1/(DATOS!E$6))))</f>
        <v>0</v>
      </c>
      <c r="BN23" s="118">
        <f t="shared" si="26"/>
        <v>194343.12951462451</v>
      </c>
    </row>
    <row r="24" spans="1:66">
      <c r="A24" s="41">
        <f>EDisponible!A37</f>
        <v>105</v>
      </c>
      <c r="B24" s="44"/>
      <c r="C24" s="118">
        <f t="shared" si="0"/>
        <v>4867339.4108274095</v>
      </c>
      <c r="D24" s="118">
        <f t="shared" si="1"/>
        <v>0.59013505686707735</v>
      </c>
      <c r="E24" s="118">
        <f t="shared" si="2"/>
        <v>3.4998171504299729E-2</v>
      </c>
      <c r="F24" s="118">
        <f t="shared" si="3"/>
        <v>85173.989734887436</v>
      </c>
      <c r="G24" s="118">
        <f>EDisponible!B37</f>
        <v>0.30746214675839856</v>
      </c>
      <c r="H24" s="118">
        <f t="shared" si="27"/>
        <v>-0.49253785324160149</v>
      </c>
      <c r="I24" s="118">
        <f>IF(H24&lt;0, 0, 0.00035*(10*H24/((1/COS(M$1))-0.8))^(3/(1+1/(DATOS!E$6))))</f>
        <v>0</v>
      </c>
      <c r="J24" s="118">
        <f t="shared" si="28"/>
        <v>85173.989734887436</v>
      </c>
      <c r="K24" s="118">
        <f t="shared" si="29"/>
        <v>4204718.4907506965</v>
      </c>
      <c r="L24" s="11">
        <f t="shared" si="4"/>
        <v>0.68313434688160857</v>
      </c>
      <c r="M24" s="118">
        <f t="shared" si="5"/>
        <v>4.2435157969142177E-2</v>
      </c>
      <c r="N24" s="118">
        <f t="shared" si="6"/>
        <v>89213.946685389441</v>
      </c>
      <c r="O24" s="118">
        <f>EDisponible!C37</f>
        <v>0.3127997171465085</v>
      </c>
      <c r="P24" s="118">
        <f t="shared" si="30"/>
        <v>-0.48720028285349154</v>
      </c>
      <c r="Q24" s="118">
        <f>IF(P24&lt;0, 0, 0.00035*(10*P24/((1/COS(M$1))-0.8))^(3/(1+1/(DATOS!E$6))))</f>
        <v>0</v>
      </c>
      <c r="R24" s="118">
        <f t="shared" si="31"/>
        <v>89213.946685389441</v>
      </c>
      <c r="S24" s="118">
        <f t="shared" si="32"/>
        <v>3613423.5513804569</v>
      </c>
      <c r="T24" s="118">
        <f t="shared" si="7"/>
        <v>0.79492137557542775</v>
      </c>
      <c r="U24" s="118">
        <f t="shared" si="8"/>
        <v>5.2812336171616833E-2</v>
      </c>
      <c r="V24" s="118">
        <f t="shared" si="9"/>
        <v>95416.669662971137</v>
      </c>
      <c r="W24" s="118">
        <f>EDisponible!D37</f>
        <v>0.31842528389975605</v>
      </c>
      <c r="X24" s="118">
        <f t="shared" si="33"/>
        <v>-0.48157471610024399</v>
      </c>
      <c r="Y24" s="118">
        <f>IF(X24&lt;0, 0, 0.00035*(10*X24/((1/COS(M$1))-0.8))^(3/(1+1/(DATOS!E$6))))</f>
        <v>0</v>
      </c>
      <c r="Z24" s="118">
        <f t="shared" si="34"/>
        <v>95416.669662971137</v>
      </c>
      <c r="AA24" s="118">
        <f t="shared" si="35"/>
        <v>3087950.2211207217</v>
      </c>
      <c r="AB24" s="118">
        <f t="shared" si="10"/>
        <v>0.93019233287948322</v>
      </c>
      <c r="AC24" s="118">
        <f t="shared" si="11"/>
        <v>6.7468467388098419E-2</v>
      </c>
      <c r="AD24" s="118">
        <f t="shared" si="36"/>
        <v>104169.63439487736</v>
      </c>
      <c r="AE24" s="118">
        <f>EDisponible!E37</f>
        <v>0.32436571371098333</v>
      </c>
      <c r="AF24" s="118">
        <f t="shared" si="37"/>
        <v>-0.47563428628901672</v>
      </c>
      <c r="AG24" s="118">
        <f>IF(AF24&lt;0, 0, 0.00035*(10*AF24/((1/COS(M$1))-0.8))^(3/(1+1/(DATOS!E$6))))</f>
        <v>0</v>
      </c>
      <c r="AH24" s="118">
        <f t="shared" si="38"/>
        <v>104169.63439487736</v>
      </c>
      <c r="AI24" s="118">
        <f t="shared" si="39"/>
        <v>2623039.1324107829</v>
      </c>
      <c r="AJ24" s="118">
        <f t="shared" si="12"/>
        <v>1.0950609102655842</v>
      </c>
      <c r="AK24" s="118">
        <f t="shared" si="13"/>
        <v>8.8439232779096946E-2</v>
      </c>
      <c r="AL24" s="118">
        <f t="shared" si="14"/>
        <v>115989.78420997885</v>
      </c>
      <c r="AM24" s="118">
        <f>EDisponible!F37</f>
        <v>0.33065151839901502</v>
      </c>
      <c r="AN24" s="118">
        <f t="shared" si="40"/>
        <v>-0.46934848160098502</v>
      </c>
      <c r="AO24" s="118">
        <f>IF(AN24&lt;0, 0, 0.00035*(10*AN24/((1/COS(M$1))-0.8))^(3/(1+1/(DATOS!E$6))))</f>
        <v>0</v>
      </c>
      <c r="AP24" s="118">
        <f t="shared" si="41"/>
        <v>115989.78420997885</v>
      </c>
      <c r="AQ24" s="118">
        <f t="shared" si="42"/>
        <v>2213673.6159538077</v>
      </c>
      <c r="AR24" s="118">
        <f t="shared" si="15"/>
        <v>1.2975660003800387</v>
      </c>
      <c r="AS24" s="118">
        <f t="shared" si="16"/>
        <v>0.11886965525668862</v>
      </c>
      <c r="AT24" s="118">
        <f t="shared" si="17"/>
        <v>131569.30978962823</v>
      </c>
      <c r="AU24" s="118">
        <f>EDisponible!G37</f>
        <v>0.33731751644659613</v>
      </c>
      <c r="AV24" s="118">
        <f t="shared" si="43"/>
        <v>-0.46268248355340391</v>
      </c>
      <c r="AW24" s="118">
        <f>IF(AV24&lt;0, 0, 0.00035*(10*AV24/((1/COS(M$1))-0.8))^(3/(1+1/(DATOS!E$6))))</f>
        <v>0</v>
      </c>
      <c r="AX24" s="118">
        <f t="shared" si="18"/>
        <v>131569.30978962823</v>
      </c>
      <c r="AY24" s="118">
        <f t="shared" si="44"/>
        <v>1855077.3294311315</v>
      </c>
      <c r="AZ24" s="118">
        <f t="shared" si="19"/>
        <v>1.548392390133317</v>
      </c>
      <c r="BA24" s="118">
        <f t="shared" si="20"/>
        <v>0.1637027613319898</v>
      </c>
      <c r="BB24" s="118">
        <f t="shared" si="21"/>
        <v>151840.64065612477</v>
      </c>
      <c r="BC24" s="118">
        <f>EDisponible!H37</f>
        <v>0.34440364745581664</v>
      </c>
      <c r="BD24" s="118">
        <f t="shared" si="45"/>
        <v>-0.4555963525441834</v>
      </c>
      <c r="BE24" s="118">
        <f>IF(BD24&lt;0, 0, 0.00035*(10*BD24/((1/COS(M$1))-0.8))^(3/(1+1/(DATOS!E$6))))</f>
        <v>0</v>
      </c>
      <c r="BF24" s="118">
        <f t="shared" si="22"/>
        <v>151840.64065612477</v>
      </c>
      <c r="BG24" s="118">
        <f t="shared" si="46"/>
        <v>1542711.816162365</v>
      </c>
      <c r="BH24" s="118">
        <f t="shared" si="23"/>
        <v>1.8619080958006298</v>
      </c>
      <c r="BI24" s="118">
        <f t="shared" si="24"/>
        <v>0.2308532231099594</v>
      </c>
      <c r="BJ24" s="118">
        <f t="shared" si="25"/>
        <v>178069.99754545055</v>
      </c>
      <c r="BK24" s="118">
        <f>EDisponible!I37</f>
        <v>0.35195598313162763</v>
      </c>
      <c r="BL24" s="118">
        <f t="shared" si="47"/>
        <v>-0.44804401686837242</v>
      </c>
      <c r="BM24" s="118">
        <f>IF(BL24&lt;0, 0, 0.00035*(10*BL24/((1/COS(M$1))-0.8))^(3/(1+1/(DATOS!E$6))))</f>
        <v>0</v>
      </c>
      <c r="BN24" s="118">
        <f t="shared" si="26"/>
        <v>178069.99754545055</v>
      </c>
    </row>
    <row r="25" spans="1:66">
      <c r="A25" s="41">
        <f>EDisponible!A38</f>
        <v>110</v>
      </c>
      <c r="B25" s="44"/>
      <c r="C25" s="118">
        <f t="shared" si="0"/>
        <v>5341932.5960101271</v>
      </c>
      <c r="D25" s="118">
        <f t="shared" si="1"/>
        <v>0.53770570264128337</v>
      </c>
      <c r="E25" s="118">
        <f t="shared" si="2"/>
        <v>3.1284364345702802E-2</v>
      </c>
      <c r="F25" s="118">
        <f t="shared" si="3"/>
        <v>83559.482821883415</v>
      </c>
      <c r="G25" s="118">
        <f>EDisponible!B38</f>
        <v>0.32210320136594134</v>
      </c>
      <c r="H25" s="118">
        <f t="shared" si="27"/>
        <v>-0.47789679863405871</v>
      </c>
      <c r="I25" s="118">
        <f>IF(H25&lt;0, 0, 0.00035*(10*H25/((1/COS(M$1))-0.8))^(3/(1+1/(DATOS!E$6))))</f>
        <v>0</v>
      </c>
      <c r="J25" s="118">
        <f t="shared" si="28"/>
        <v>83559.482821883415</v>
      </c>
      <c r="K25" s="118">
        <f t="shared" si="29"/>
        <v>4614702.3798715118</v>
      </c>
      <c r="L25" s="11">
        <f t="shared" si="4"/>
        <v>0.62244265903882123</v>
      </c>
      <c r="M25" s="118">
        <f t="shared" si="5"/>
        <v>3.7458603488644819E-2</v>
      </c>
      <c r="N25" s="118">
        <f t="shared" si="6"/>
        <v>86430.15333285628</v>
      </c>
      <c r="O25" s="118">
        <f>EDisponible!C38</f>
        <v>0.32769494177253272</v>
      </c>
      <c r="P25" s="118">
        <f t="shared" si="30"/>
        <v>-0.47230505822746732</v>
      </c>
      <c r="Q25" s="118">
        <f>IF(P25&lt;0, 0, 0.00035*(10*P25/((1/COS(M$1))-0.8))^(3/(1+1/(DATOS!E$6))))</f>
        <v>0</v>
      </c>
      <c r="R25" s="118">
        <f t="shared" si="31"/>
        <v>86430.15333285628</v>
      </c>
      <c r="S25" s="118">
        <f t="shared" si="32"/>
        <v>3965752.8319005468</v>
      </c>
      <c r="T25" s="118">
        <f t="shared" si="7"/>
        <v>0.72429819551397445</v>
      </c>
      <c r="U25" s="118">
        <f t="shared" si="8"/>
        <v>4.6073810757596173E-2</v>
      </c>
      <c r="V25" s="118">
        <f t="shared" si="9"/>
        <v>91358.672744193449</v>
      </c>
      <c r="W25" s="118">
        <f>EDisponible!D38</f>
        <v>0.33358839265688733</v>
      </c>
      <c r="X25" s="118">
        <f t="shared" si="33"/>
        <v>-0.46641160734311271</v>
      </c>
      <c r="Y25" s="118">
        <f>IF(X25&lt;0, 0, 0.00035*(10*X25/((1/COS(M$1))-0.8))^(3/(1+1/(DATOS!E$6))))</f>
        <v>0</v>
      </c>
      <c r="Z25" s="118">
        <f t="shared" si="34"/>
        <v>91358.672744193449</v>
      </c>
      <c r="AA25" s="118">
        <f t="shared" si="35"/>
        <v>3389042.8730667331</v>
      </c>
      <c r="AB25" s="118">
        <f t="shared" si="10"/>
        <v>0.84755127851209111</v>
      </c>
      <c r="AC25" s="118">
        <f t="shared" si="11"/>
        <v>5.8241435301311414E-2</v>
      </c>
      <c r="AD25" s="118">
        <f t="shared" si="36"/>
        <v>98691.360612543343</v>
      </c>
      <c r="AE25" s="118">
        <f>EDisponible!E38</f>
        <v>0.33981170007817302</v>
      </c>
      <c r="AF25" s="118">
        <f t="shared" si="37"/>
        <v>-0.46018829992182703</v>
      </c>
      <c r="AG25" s="118">
        <f>IF(AF25&lt;0, 0, 0.00035*(10*AF25/((1/COS(M$1))-0.8))^(3/(1+1/(DATOS!E$6))))</f>
        <v>0</v>
      </c>
      <c r="AH25" s="118">
        <f t="shared" si="38"/>
        <v>98691.360612543343</v>
      </c>
      <c r="AI25" s="118">
        <f t="shared" si="39"/>
        <v>2878800.3176571857</v>
      </c>
      <c r="AJ25" s="118">
        <f t="shared" si="12"/>
        <v>0.9977724409651294</v>
      </c>
      <c r="AK25" s="118">
        <f t="shared" si="13"/>
        <v>7.5651514121093125E-2</v>
      </c>
      <c r="AL25" s="118">
        <f t="shared" si="14"/>
        <v>108892.80144152498</v>
      </c>
      <c r="AM25" s="118">
        <f>EDisponible!F38</f>
        <v>0.3463968287989681</v>
      </c>
      <c r="AN25" s="118">
        <f t="shared" si="40"/>
        <v>-0.45360317120103194</v>
      </c>
      <c r="AO25" s="118">
        <f>IF(AN25&lt;0, 0, 0.00035*(10*AN25/((1/COS(M$1))-0.8))^(3/(1+1/(DATOS!E$6))))</f>
        <v>0</v>
      </c>
      <c r="AP25" s="118">
        <f t="shared" si="41"/>
        <v>108892.80144152498</v>
      </c>
      <c r="AQ25" s="118">
        <f t="shared" si="42"/>
        <v>2429519.3426794619</v>
      </c>
      <c r="AR25" s="118">
        <f t="shared" si="15"/>
        <v>1.182286376379333</v>
      </c>
      <c r="AS25" s="118">
        <f t="shared" si="16"/>
        <v>0.10091506764315665</v>
      </c>
      <c r="AT25" s="118">
        <f t="shared" si="17"/>
        <v>122587.5544034277</v>
      </c>
      <c r="AU25" s="118">
        <f>EDisponible!G38</f>
        <v>0.35338025532500544</v>
      </c>
      <c r="AV25" s="118">
        <f t="shared" si="43"/>
        <v>-0.4466197446749946</v>
      </c>
      <c r="AW25" s="118">
        <f>IF(AV25&lt;0, 0, 0.00035*(10*AV25/((1/COS(M$1))-0.8))^(3/(1+1/(DATOS!E$6))))</f>
        <v>0</v>
      </c>
      <c r="AX25" s="118">
        <f t="shared" si="18"/>
        <v>122587.5544034277</v>
      </c>
      <c r="AY25" s="118">
        <f t="shared" si="44"/>
        <v>2035957.8853620582</v>
      </c>
      <c r="AZ25" s="118">
        <f t="shared" si="19"/>
        <v>1.4108286034065964</v>
      </c>
      <c r="BA25" s="118">
        <f t="shared" si="20"/>
        <v>0.13813583169031288</v>
      </c>
      <c r="BB25" s="118">
        <f t="shared" si="21"/>
        <v>140619.36789046929</v>
      </c>
      <c r="BC25" s="118">
        <f>EDisponible!H38</f>
        <v>0.36080382114418885</v>
      </c>
      <c r="BD25" s="118">
        <f t="shared" si="45"/>
        <v>-0.43919617885581119</v>
      </c>
      <c r="BE25" s="118">
        <f>IF(BD25&lt;0, 0, 0.00035*(10*BD25/((1/COS(M$1))-0.8))^(3/(1+1/(DATOS!E$6))))</f>
        <v>0</v>
      </c>
      <c r="BF25" s="118">
        <f t="shared" si="22"/>
        <v>140619.36789046929</v>
      </c>
      <c r="BG25" s="118">
        <f t="shared" si="46"/>
        <v>1693134.9637700336</v>
      </c>
      <c r="BH25" s="118">
        <f t="shared" si="23"/>
        <v>1.6964906410084246</v>
      </c>
      <c r="BI25" s="118">
        <f t="shared" si="24"/>
        <v>0.19388462342688012</v>
      </c>
      <c r="BJ25" s="118">
        <f t="shared" si="25"/>
        <v>164136.41743071863</v>
      </c>
      <c r="BK25" s="118">
        <f>EDisponible!I38</f>
        <v>0.36871579185218134</v>
      </c>
      <c r="BL25" s="118">
        <f t="shared" si="47"/>
        <v>-0.4312842081478187</v>
      </c>
      <c r="BM25" s="118">
        <f>IF(BL25&lt;0, 0, 0.00035*(10*BL25/((1/COS(M$1))-0.8))^(3/(1+1/(DATOS!E$6))))</f>
        <v>0</v>
      </c>
      <c r="BN25" s="118">
        <f t="shared" si="26"/>
        <v>164136.41743071863</v>
      </c>
    </row>
    <row r="26" spans="1:66">
      <c r="A26" s="41">
        <f>EDisponible!A39</f>
        <v>115</v>
      </c>
      <c r="B26" s="44"/>
      <c r="C26" s="118">
        <f t="shared" si="0"/>
        <v>5838599.8828292508</v>
      </c>
      <c r="D26" s="118">
        <f t="shared" si="1"/>
        <v>0.4919651419251061</v>
      </c>
      <c r="E26" s="118">
        <f t="shared" si="2"/>
        <v>2.8326372620842265E-2</v>
      </c>
      <c r="F26" s="118">
        <f t="shared" si="3"/>
        <v>82693.177932513674</v>
      </c>
      <c r="G26" s="118">
        <f>EDisponible!B39</f>
        <v>0.33674425597348412</v>
      </c>
      <c r="H26" s="118">
        <f t="shared" si="27"/>
        <v>-0.46325574402651593</v>
      </c>
      <c r="I26" s="118">
        <f>IF(H26&lt;0, 0, 0.00035*(10*H26/((1/COS(M$1))-0.8))^(3/(1+1/(DATOS!E$6))))</f>
        <v>0</v>
      </c>
      <c r="J26" s="118">
        <f t="shared" si="28"/>
        <v>82693.177932513674</v>
      </c>
      <c r="K26" s="118">
        <f t="shared" si="29"/>
        <v>5043755.2870909711</v>
      </c>
      <c r="L26" s="11">
        <f t="shared" si="4"/>
        <v>0.56949385061396862</v>
      </c>
      <c r="M26" s="118">
        <f t="shared" si="5"/>
        <v>3.349485245285052E-2</v>
      </c>
      <c r="N26" s="118">
        <f t="shared" si="6"/>
        <v>84469.91957469839</v>
      </c>
      <c r="O26" s="118">
        <f>EDisponible!C39</f>
        <v>0.34259016639855688</v>
      </c>
      <c r="P26" s="118">
        <f t="shared" si="30"/>
        <v>-0.45740983360144316</v>
      </c>
      <c r="Q26" s="118">
        <f>IF(P26&lt;0, 0, 0.00035*(10*P26/((1/COS(M$1))-0.8))^(3/(1+1/(DATOS!E$6))))</f>
        <v>0</v>
      </c>
      <c r="R26" s="118">
        <f t="shared" si="31"/>
        <v>84469.91957469839</v>
      </c>
      <c r="S26" s="118">
        <f t="shared" si="32"/>
        <v>4334469.5208169194</v>
      </c>
      <c r="T26" s="118">
        <f t="shared" si="7"/>
        <v>0.66268492746458163</v>
      </c>
      <c r="U26" s="118">
        <f t="shared" si="8"/>
        <v>4.0706676288512475E-2</v>
      </c>
      <c r="V26" s="118">
        <f t="shared" si="9"/>
        <v>88220.92383315906</v>
      </c>
      <c r="W26" s="118">
        <f>EDisponible!D39</f>
        <v>0.34875150141401856</v>
      </c>
      <c r="X26" s="118">
        <f t="shared" si="33"/>
        <v>-0.45124849858598148</v>
      </c>
      <c r="Y26" s="118">
        <f>IF(X26&lt;0, 0, 0.00035*(10*X26/((1/COS(M$1))-0.8))^(3/(1+1/(DATOS!E$6))))</f>
        <v>0</v>
      </c>
      <c r="Z26" s="118">
        <f t="shared" si="34"/>
        <v>88220.92383315906</v>
      </c>
      <c r="AA26" s="118">
        <f t="shared" si="35"/>
        <v>3704139.8344055824</v>
      </c>
      <c r="AB26" s="118">
        <f t="shared" si="10"/>
        <v>0.77545334366701713</v>
      </c>
      <c r="AC26" s="118">
        <f t="shared" si="11"/>
        <v>5.0892242574769854E-2</v>
      </c>
      <c r="AD26" s="118">
        <f t="shared" si="36"/>
        <v>94255.991491718363</v>
      </c>
      <c r="AE26" s="118">
        <f>EDisponible!E39</f>
        <v>0.35525768644536271</v>
      </c>
      <c r="AF26" s="118">
        <f t="shared" si="37"/>
        <v>-0.44474231355463734</v>
      </c>
      <c r="AG26" s="118">
        <f>IF(AF26&lt;0, 0, 0.00035*(10*AF26/((1/COS(M$1))-0.8))^(3/(1+1/(DATOS!E$6))))</f>
        <v>0</v>
      </c>
      <c r="AH26" s="118">
        <f t="shared" si="38"/>
        <v>94255.991491718363</v>
      </c>
      <c r="AI26" s="118">
        <f t="shared" si="39"/>
        <v>3146457.3719848166</v>
      </c>
      <c r="AJ26" s="118">
        <f t="shared" si="12"/>
        <v>0.91289576829323749</v>
      </c>
      <c r="AK26" s="118">
        <f t="shared" si="13"/>
        <v>6.5466287921973398E-2</v>
      </c>
      <c r="AL26" s="118">
        <f t="shared" si="14"/>
        <v>102993.44212428688</v>
      </c>
      <c r="AM26" s="118">
        <f>EDisponible!F39</f>
        <v>0.36214213919892119</v>
      </c>
      <c r="AN26" s="118">
        <f t="shared" si="40"/>
        <v>-0.43785786080107886</v>
      </c>
      <c r="AO26" s="118">
        <f>IF(AN26&lt;0, 0, 0.00035*(10*AN26/((1/COS(M$1))-0.8))^(3/(1+1/(DATOS!E$6))))</f>
        <v>0</v>
      </c>
      <c r="AP26" s="118">
        <f t="shared" si="41"/>
        <v>102993.44212428688</v>
      </c>
      <c r="AQ26" s="118">
        <f t="shared" si="42"/>
        <v>2655404.4055318916</v>
      </c>
      <c r="AR26" s="118">
        <f t="shared" si="15"/>
        <v>1.0817138112809019</v>
      </c>
      <c r="AS26" s="118">
        <f t="shared" si="16"/>
        <v>8.6614507782052902E-2</v>
      </c>
      <c r="AT26" s="118">
        <f t="shared" si="17"/>
        <v>114998.2727737198</v>
      </c>
      <c r="AU26" s="118">
        <f>EDisponible!G39</f>
        <v>0.36944299420341481</v>
      </c>
      <c r="AV26" s="118">
        <f t="shared" si="43"/>
        <v>-0.43055700579658523</v>
      </c>
      <c r="AW26" s="118">
        <f>IF(AV26&lt;0, 0, 0.00035*(10*AV26/((1/COS(M$1))-0.8))^(3/(1+1/(DATOS!E$6))))</f>
        <v>0</v>
      </c>
      <c r="AX26" s="118">
        <f t="shared" si="18"/>
        <v>114998.2727737198</v>
      </c>
      <c r="AY26" s="118">
        <f t="shared" si="44"/>
        <v>2225251.4904060508</v>
      </c>
      <c r="AZ26" s="118">
        <f t="shared" si="19"/>
        <v>1.2908148280695517</v>
      </c>
      <c r="BA26" s="118">
        <f t="shared" si="20"/>
        <v>0.1177721555271319</v>
      </c>
      <c r="BB26" s="118">
        <f t="shared" si="21"/>
        <v>131036.33230754173</v>
      </c>
      <c r="BC26" s="118">
        <f>EDisponible!H39</f>
        <v>0.37720399483256112</v>
      </c>
      <c r="BD26" s="118">
        <f t="shared" si="45"/>
        <v>-0.42279600516743893</v>
      </c>
      <c r="BE26" s="118">
        <f>IF(BD26&lt;0, 0, 0.00035*(10*BD26/((1/COS(M$1))-0.8))^(3/(1+1/(DATOS!E$6))))</f>
        <v>0</v>
      </c>
      <c r="BF26" s="118">
        <f t="shared" si="22"/>
        <v>131036.33230754173</v>
      </c>
      <c r="BG26" s="118">
        <f t="shared" si="46"/>
        <v>1850554.5368478259</v>
      </c>
      <c r="BH26" s="118">
        <f t="shared" si="23"/>
        <v>1.5521766923404112</v>
      </c>
      <c r="BI26" s="118">
        <f t="shared" si="24"/>
        <v>0.16443968800822395</v>
      </c>
      <c r="BJ26" s="118">
        <f t="shared" si="25"/>
        <v>152152.30534072992</v>
      </c>
      <c r="BK26" s="118">
        <f>EDisponible!I39</f>
        <v>0.385475600572735</v>
      </c>
      <c r="BL26" s="118">
        <f t="shared" si="47"/>
        <v>-0.41452439942726504</v>
      </c>
      <c r="BM26" s="118">
        <f>IF(BL26&lt;0, 0, 0.00035*(10*BL26/((1/COS(M$1))-0.8))^(3/(1+1/(DATOS!E$6))))</f>
        <v>0</v>
      </c>
      <c r="BN26" s="118">
        <f t="shared" si="26"/>
        <v>152152.30534072992</v>
      </c>
    </row>
    <row r="27" spans="1:66">
      <c r="A27" s="41">
        <f>EDisponible!A40</f>
        <v>120</v>
      </c>
      <c r="B27" s="44"/>
      <c r="C27" s="118">
        <f t="shared" si="0"/>
        <v>6357341.2712847795</v>
      </c>
      <c r="D27" s="118">
        <f t="shared" si="1"/>
        <v>0.45182215291385613</v>
      </c>
      <c r="E27" s="118">
        <f t="shared" si="2"/>
        <v>2.5946899035894925E-2</v>
      </c>
      <c r="F27" s="118">
        <f t="shared" si="3"/>
        <v>82476.646051377029</v>
      </c>
      <c r="G27" s="118">
        <f>EDisponible!B40</f>
        <v>0.3513853105810269</v>
      </c>
      <c r="H27" s="118">
        <f t="shared" si="27"/>
        <v>-0.44861468941897314</v>
      </c>
      <c r="I27" s="118">
        <f>IF(H27&lt;0, 0, 0.00035*(10*H27/((1/COS(M$1))-0.8))^(3/(1+1/(DATOS!E$6))))</f>
        <v>0</v>
      </c>
      <c r="J27" s="118">
        <f t="shared" si="28"/>
        <v>82476.646051377029</v>
      </c>
      <c r="K27" s="118">
        <f t="shared" si="29"/>
        <v>5491877.2124090726</v>
      </c>
      <c r="L27" s="11">
        <f t="shared" si="4"/>
        <v>0.52302473433123164</v>
      </c>
      <c r="M27" s="118">
        <f t="shared" si="5"/>
        <v>3.0306323963162192E-2</v>
      </c>
      <c r="N27" s="118">
        <f t="shared" si="6"/>
        <v>83219.304982588728</v>
      </c>
      <c r="O27" s="118">
        <f>EDisponible!C40</f>
        <v>0.3574853910245811</v>
      </c>
      <c r="P27" s="118">
        <f t="shared" si="30"/>
        <v>-0.44251460897541894</v>
      </c>
      <c r="Q27" s="118">
        <f>IF(P27&lt;0, 0, 0.00035*(10*P27/((1/COS(M$1))-0.8))^(3/(1+1/(DATOS!E$6))))</f>
        <v>0</v>
      </c>
      <c r="R27" s="118">
        <f t="shared" si="31"/>
        <v>83219.304982588728</v>
      </c>
      <c r="S27" s="118">
        <f t="shared" si="32"/>
        <v>4719573.6181295766</v>
      </c>
      <c r="T27" s="118">
        <f t="shared" si="7"/>
        <v>0.60861167817493689</v>
      </c>
      <c r="U27" s="118">
        <f t="shared" si="8"/>
        <v>3.6389235306946766E-2</v>
      </c>
      <c r="V27" s="118">
        <f t="shared" si="9"/>
        <v>85870.837469287639</v>
      </c>
      <c r="W27" s="118">
        <f>EDisponible!D40</f>
        <v>0.36391461017114979</v>
      </c>
      <c r="X27" s="118">
        <f t="shared" si="33"/>
        <v>-0.43608538982885026</v>
      </c>
      <c r="Y27" s="118">
        <f>IF(X27&lt;0, 0, 0.00035*(10*X27/((1/COS(M$1))-0.8))^(3/(1+1/(DATOS!E$6))))</f>
        <v>0</v>
      </c>
      <c r="Z27" s="118">
        <f t="shared" si="34"/>
        <v>85870.837469287639</v>
      </c>
      <c r="AA27" s="118">
        <f t="shared" si="35"/>
        <v>4033241.105137269</v>
      </c>
      <c r="AB27" s="118">
        <f t="shared" si="10"/>
        <v>0.71217850486085432</v>
      </c>
      <c r="AC27" s="118">
        <f t="shared" si="11"/>
        <v>4.4980390348639224E-2</v>
      </c>
      <c r="AD27" s="118">
        <f t="shared" si="36"/>
        <v>90708.379639625709</v>
      </c>
      <c r="AE27" s="118">
        <f>EDisponible!E40</f>
        <v>0.3707036728125524</v>
      </c>
      <c r="AF27" s="118">
        <f t="shared" si="37"/>
        <v>-0.42929632718744765</v>
      </c>
      <c r="AG27" s="118">
        <f>IF(AF27&lt;0, 0, 0.00035*(10*AF27/((1/COS(M$1))-0.8))^(3/(1+1/(DATOS!E$6))))</f>
        <v>0</v>
      </c>
      <c r="AH27" s="118">
        <f t="shared" si="38"/>
        <v>90708.379639625709</v>
      </c>
      <c r="AI27" s="118">
        <f t="shared" si="39"/>
        <v>3426010.2953936756</v>
      </c>
      <c r="AJ27" s="118">
        <f t="shared" si="12"/>
        <v>0.83840600942208787</v>
      </c>
      <c r="AK27" s="118">
        <f t="shared" si="13"/>
        <v>5.7273068010696704E-2</v>
      </c>
      <c r="AL27" s="118">
        <f t="shared" si="14"/>
        <v>98109.060326714549</v>
      </c>
      <c r="AM27" s="118">
        <f>EDisponible!F40</f>
        <v>0.37788744959887427</v>
      </c>
      <c r="AN27" s="118">
        <f t="shared" si="40"/>
        <v>-0.42211255040112577</v>
      </c>
      <c r="AO27" s="118">
        <f>IF(AN27&lt;0, 0, 0.00035*(10*AN27/((1/COS(M$1))-0.8))^(3/(1+1/(DATOS!E$6))))</f>
        <v>0</v>
      </c>
      <c r="AP27" s="118">
        <f t="shared" si="41"/>
        <v>98109.060326714549</v>
      </c>
      <c r="AQ27" s="118">
        <f t="shared" si="42"/>
        <v>2891328.8045110954</v>
      </c>
      <c r="AR27" s="118">
        <f t="shared" si="15"/>
        <v>0.99344896904096724</v>
      </c>
      <c r="AS27" s="118">
        <f t="shared" si="16"/>
        <v>7.5110822983523284E-2</v>
      </c>
      <c r="AT27" s="118">
        <f t="shared" si="17"/>
        <v>108585.04301139744</v>
      </c>
      <c r="AU27" s="118">
        <f>EDisponible!G40</f>
        <v>0.38550573308182412</v>
      </c>
      <c r="AV27" s="118">
        <f t="shared" si="43"/>
        <v>-0.41449426691817592</v>
      </c>
      <c r="AW27" s="118">
        <f>IF(AV27&lt;0, 0, 0.00035*(10*AV27/((1/COS(M$1))-0.8))^(3/(1+1/(DATOS!E$6))))</f>
        <v>0</v>
      </c>
      <c r="AX27" s="118">
        <f t="shared" si="18"/>
        <v>108585.04301139744</v>
      </c>
      <c r="AY27" s="118">
        <f t="shared" si="44"/>
        <v>2422958.1445631105</v>
      </c>
      <c r="AZ27" s="118">
        <f t="shared" si="19"/>
        <v>1.1854879236958207</v>
      </c>
      <c r="BA27" s="118">
        <f t="shared" si="20"/>
        <v>0.10139116665705795</v>
      </c>
      <c r="BB27" s="118">
        <f t="shared" si="21"/>
        <v>122833.27651923713</v>
      </c>
      <c r="BC27" s="118">
        <f>EDisponible!H40</f>
        <v>0.39360416852093333</v>
      </c>
      <c r="BD27" s="118">
        <f t="shared" si="45"/>
        <v>-0.40639583147906672</v>
      </c>
      <c r="BE27" s="118">
        <f>IF(BD27&lt;0, 0, 0.00035*(10*BD27/((1/COS(M$1))-0.8))^(3/(1+1/(DATOS!E$6))))</f>
        <v>0</v>
      </c>
      <c r="BF27" s="118">
        <f t="shared" si="22"/>
        <v>122833.27651923713</v>
      </c>
      <c r="BG27" s="118">
        <f t="shared" si="46"/>
        <v>2014970.5353957422</v>
      </c>
      <c r="BH27" s="118">
        <f t="shared" si="23"/>
        <v>1.425523385847357</v>
      </c>
      <c r="BI27" s="118">
        <f t="shared" si="24"/>
        <v>0.14075353451079453</v>
      </c>
      <c r="BJ27" s="118">
        <f t="shared" si="25"/>
        <v>141807.11239602938</v>
      </c>
      <c r="BK27" s="118">
        <f>EDisponible!I40</f>
        <v>0.40223540929328871</v>
      </c>
      <c r="BL27" s="118">
        <f t="shared" si="47"/>
        <v>-0.39776459070671133</v>
      </c>
      <c r="BM27" s="118">
        <f>IF(BL27&lt;0, 0, 0.00035*(10*BL27/((1/COS(M$1))-0.8))^(3/(1+1/(DATOS!E$6))))</f>
        <v>0</v>
      </c>
      <c r="BN27" s="118">
        <f t="shared" si="26"/>
        <v>141807.11239602938</v>
      </c>
    </row>
    <row r="28" spans="1:66">
      <c r="A28" s="41">
        <f>EDisponible!A41</f>
        <v>125</v>
      </c>
      <c r="B28" s="44"/>
      <c r="C28" s="118">
        <f t="shared" si="0"/>
        <v>6898156.7613767134</v>
      </c>
      <c r="D28" s="118">
        <f t="shared" si="1"/>
        <v>0.41639929612540982</v>
      </c>
      <c r="E28" s="118">
        <f t="shared" si="2"/>
        <v>2.4015325934823726E-2</v>
      </c>
      <c r="F28" s="118">
        <f t="shared" si="3"/>
        <v>82830.741486984916</v>
      </c>
      <c r="G28" s="118">
        <f>EDisponible!B41</f>
        <v>0.36602636518856974</v>
      </c>
      <c r="H28" s="118">
        <f t="shared" si="27"/>
        <v>-0.43397363481143031</v>
      </c>
      <c r="I28" s="118">
        <f>IF(H28&lt;0, 0, 0.00035*(10*H28/((1/COS(M$1))-0.8))^(3/(1+1/(DATOS!E$6))))</f>
        <v>0</v>
      </c>
      <c r="J28" s="118">
        <f t="shared" si="28"/>
        <v>82830.741486984916</v>
      </c>
      <c r="K28" s="118">
        <f t="shared" si="29"/>
        <v>5959068.1558258161</v>
      </c>
      <c r="L28" s="11">
        <f t="shared" si="4"/>
        <v>0.48201959515966308</v>
      </c>
      <c r="M28" s="118">
        <f t="shared" si="5"/>
        <v>2.7717988500376427E-2</v>
      </c>
      <c r="N28" s="118">
        <f t="shared" si="6"/>
        <v>82586.691308069669</v>
      </c>
      <c r="O28" s="118">
        <f>EDisponible!C41</f>
        <v>0.37238061565060532</v>
      </c>
      <c r="P28" s="118">
        <f t="shared" si="30"/>
        <v>-0.42761938434939473</v>
      </c>
      <c r="Q28" s="118">
        <f>IF(P28&lt;0, 0, 0.00035*(10*P28/((1/COS(M$1))-0.8))^(3/(1+1/(DATOS!E$6))))</f>
        <v>0</v>
      </c>
      <c r="R28" s="118">
        <f t="shared" si="31"/>
        <v>82586.691308069669</v>
      </c>
      <c r="S28" s="118">
        <f t="shared" si="32"/>
        <v>5121065.123838516</v>
      </c>
      <c r="T28" s="118">
        <f t="shared" si="7"/>
        <v>0.56089652260602185</v>
      </c>
      <c r="U28" s="118">
        <f t="shared" si="8"/>
        <v>3.2884488325004839E-2</v>
      </c>
      <c r="V28" s="118">
        <f t="shared" si="9"/>
        <v>84201.80313822857</v>
      </c>
      <c r="W28" s="118">
        <f>EDisponible!D41</f>
        <v>0.37907771892828102</v>
      </c>
      <c r="X28" s="118">
        <f t="shared" si="33"/>
        <v>-0.42092228107171903</v>
      </c>
      <c r="Y28" s="118">
        <f>IF(X28&lt;0, 0, 0.00035*(10*X28/((1/COS(M$1))-0.8))^(3/(1+1/(DATOS!E$6))))</f>
        <v>0</v>
      </c>
      <c r="Z28" s="118">
        <f t="shared" si="34"/>
        <v>84201.80313822857</v>
      </c>
      <c r="AA28" s="118">
        <f t="shared" si="35"/>
        <v>4376346.6852617944</v>
      </c>
      <c r="AB28" s="118">
        <f t="shared" si="10"/>
        <v>0.65634371007976322</v>
      </c>
      <c r="AC28" s="118">
        <f t="shared" si="11"/>
        <v>4.0181356306092972E-2</v>
      </c>
      <c r="AD28" s="118">
        <f t="shared" si="36"/>
        <v>87923.772739746535</v>
      </c>
      <c r="AE28" s="118">
        <f>EDisponible!E41</f>
        <v>0.38614965917974209</v>
      </c>
      <c r="AF28" s="118">
        <f t="shared" si="37"/>
        <v>-0.41385034082025796</v>
      </c>
      <c r="AG28" s="118">
        <f>IF(AF28&lt;0, 0, 0.00035*(10*AF28/((1/COS(M$1))-0.8))^(3/(1+1/(DATOS!E$6))))</f>
        <v>0</v>
      </c>
      <c r="AH28" s="118">
        <f t="shared" si="38"/>
        <v>87923.772739746535</v>
      </c>
      <c r="AI28" s="118">
        <f t="shared" si="39"/>
        <v>3717459.0878837625</v>
      </c>
      <c r="AJ28" s="118">
        <f t="shared" si="12"/>
        <v>0.77267497828339626</v>
      </c>
      <c r="AK28" s="118">
        <f t="shared" si="13"/>
        <v>5.062209979155035E-2</v>
      </c>
      <c r="AL28" s="118">
        <f t="shared" si="14"/>
        <v>94092.792458928787</v>
      </c>
      <c r="AM28" s="118">
        <f>EDisponible!F41</f>
        <v>0.39363275999882735</v>
      </c>
      <c r="AN28" s="118">
        <f t="shared" si="40"/>
        <v>-0.40636724000117269</v>
      </c>
      <c r="AO28" s="118">
        <f>IF(AN28&lt;0, 0, 0.00035*(10*AN28/((1/COS(M$1))-0.8))^(3/(1+1/(DATOS!E$6))))</f>
        <v>0</v>
      </c>
      <c r="AP28" s="118">
        <f t="shared" si="41"/>
        <v>94092.792458928787</v>
      </c>
      <c r="AQ28" s="118">
        <f t="shared" si="42"/>
        <v>3137292.5396170747</v>
      </c>
      <c r="AR28" s="118">
        <f t="shared" si="15"/>
        <v>0.91556256986815521</v>
      </c>
      <c r="AS28" s="118">
        <f t="shared" si="16"/>
        <v>6.577253561584348E-2</v>
      </c>
      <c r="AT28" s="118">
        <f t="shared" si="17"/>
        <v>103173.84264964204</v>
      </c>
      <c r="AU28" s="118">
        <f>EDisponible!G41</f>
        <v>0.40156847196023349</v>
      </c>
      <c r="AV28" s="118">
        <f t="shared" si="43"/>
        <v>-0.39843152803976656</v>
      </c>
      <c r="AW28" s="118">
        <f>IF(AV28&lt;0, 0, 0.00035*(10*AV28/((1/COS(M$1))-0.8))^(3/(1+1/(DATOS!E$6))))</f>
        <v>0</v>
      </c>
      <c r="AX28" s="118">
        <f t="shared" si="18"/>
        <v>103173.84264964204</v>
      </c>
      <c r="AY28" s="118">
        <f t="shared" si="44"/>
        <v>2629077.8478332362</v>
      </c>
      <c r="AZ28" s="118">
        <f t="shared" si="19"/>
        <v>1.0925456704780683</v>
      </c>
      <c r="BA28" s="118">
        <f t="shared" si="20"/>
        <v>8.8093655110577915E-2</v>
      </c>
      <c r="BB28" s="118">
        <f t="shared" si="21"/>
        <v>115802.53859294078</v>
      </c>
      <c r="BC28" s="118">
        <f>EDisponible!H41</f>
        <v>0.41000434220930554</v>
      </c>
      <c r="BD28" s="118">
        <f t="shared" si="45"/>
        <v>-0.38999565779069451</v>
      </c>
      <c r="BE28" s="118">
        <f>IF(BD28&lt;0, 0, 0.00035*(10*BD28/((1/COS(M$1))-0.8))^(3/(1+1/(DATOS!E$6))))</f>
        <v>0</v>
      </c>
      <c r="BF28" s="118">
        <f t="shared" si="22"/>
        <v>115802.53859294078</v>
      </c>
      <c r="BG28" s="118">
        <f t="shared" si="46"/>
        <v>2186382.9594137832</v>
      </c>
      <c r="BH28" s="118">
        <f t="shared" si="23"/>
        <v>1.313762352396924</v>
      </c>
      <c r="BI28" s="118">
        <f t="shared" si="24"/>
        <v>0.12152594684060361</v>
      </c>
      <c r="BJ28" s="118">
        <f t="shared" si="25"/>
        <v>132851.12964946052</v>
      </c>
      <c r="BK28" s="118">
        <f>EDisponible!I41</f>
        <v>0.41899521801384243</v>
      </c>
      <c r="BL28" s="118">
        <f t="shared" si="47"/>
        <v>-0.38100478198615761</v>
      </c>
      <c r="BM28" s="118">
        <f>IF(BL28&lt;0, 0, 0.00035*(10*BL28/((1/COS(M$1))-0.8))^(3/(1+1/(DATOS!E$6))))</f>
        <v>0</v>
      </c>
      <c r="BN28" s="118">
        <f t="shared" si="26"/>
        <v>132851.12964946052</v>
      </c>
    </row>
    <row r="29" spans="1:66">
      <c r="A29" s="41">
        <f>EDisponible!A42</f>
        <v>130</v>
      </c>
      <c r="B29" s="44"/>
      <c r="C29" s="118">
        <f t="shared" si="0"/>
        <v>7461046.3531050542</v>
      </c>
      <c r="D29" s="118">
        <f t="shared" si="1"/>
        <v>0.38498455632896611</v>
      </c>
      <c r="E29" s="118">
        <f t="shared" si="2"/>
        <v>2.2434183082932112E-2</v>
      </c>
      <c r="F29" s="118">
        <f t="shared" si="3"/>
        <v>83691.239937900871</v>
      </c>
      <c r="G29" s="118">
        <f>EDisponible!B42</f>
        <v>0.38066741979611252</v>
      </c>
      <c r="H29" s="118">
        <f t="shared" si="27"/>
        <v>-0.41933258020388753</v>
      </c>
      <c r="I29" s="118">
        <f>IF(H29&lt;0, 0, 0.00035*(10*H29/((1/COS(M$1))-0.8))^(3/(1+1/(DATOS!E$6))))</f>
        <v>0</v>
      </c>
      <c r="J29" s="118">
        <f t="shared" si="28"/>
        <v>83691.239937900871</v>
      </c>
      <c r="K29" s="118">
        <f t="shared" si="29"/>
        <v>6445328.1173412036</v>
      </c>
      <c r="L29" s="118">
        <f t="shared" si="4"/>
        <v>0.44565421150116774</v>
      </c>
      <c r="M29" s="118">
        <f t="shared" si="5"/>
        <v>2.5599234561935438E-2</v>
      </c>
      <c r="N29" s="118">
        <f t="shared" si="6"/>
        <v>82497.733152227607</v>
      </c>
      <c r="O29" s="118">
        <f>EDisponible!C42</f>
        <v>0.38727584027662953</v>
      </c>
      <c r="P29" s="118">
        <f t="shared" si="30"/>
        <v>-0.41272415972337051</v>
      </c>
      <c r="Q29" s="118">
        <f>IF(P29&lt;0, 0, 0.00035*(10*P29/((1/COS(M$1))-0.8))^(3/(1+1/(DATOS!E$6))))</f>
        <v>0</v>
      </c>
      <c r="R29" s="118">
        <f t="shared" si="31"/>
        <v>82497.733152227607</v>
      </c>
      <c r="S29" s="118">
        <f t="shared" si="32"/>
        <v>5538944.0379437385</v>
      </c>
      <c r="T29" s="118">
        <f t="shared" si="7"/>
        <v>0.51858036483544923</v>
      </c>
      <c r="U29" s="118">
        <f t="shared" si="8"/>
        <v>3.0015580264982154E-2</v>
      </c>
      <c r="V29" s="118">
        <f t="shared" si="9"/>
        <v>83127.30967707232</v>
      </c>
      <c r="W29" s="118">
        <f>EDisponible!D42</f>
        <v>0.3942408276854123</v>
      </c>
      <c r="X29" s="118">
        <f t="shared" si="33"/>
        <v>-0.40575917231458775</v>
      </c>
      <c r="Y29" s="118">
        <f>IF(X29&lt;0, 0, 0.00035*(10*X29/((1/COS(M$1))-0.8))^(3/(1+1/(DATOS!E$6))))</f>
        <v>0</v>
      </c>
      <c r="Z29" s="118">
        <f t="shared" si="34"/>
        <v>83127.30967707232</v>
      </c>
      <c r="AA29" s="118">
        <f t="shared" si="35"/>
        <v>4733456.5747791566</v>
      </c>
      <c r="AB29" s="118">
        <f t="shared" si="10"/>
        <v>0.60682665502936695</v>
      </c>
      <c r="AC29" s="118">
        <f t="shared" si="11"/>
        <v>3.6252973596606904E-2</v>
      </c>
      <c r="AD29" s="118">
        <f t="shared" si="36"/>
        <v>85800.938113077063</v>
      </c>
      <c r="AE29" s="118">
        <f>EDisponible!E42</f>
        <v>0.40159564554693178</v>
      </c>
      <c r="AF29" s="118">
        <f t="shared" si="37"/>
        <v>-0.39840435445306827</v>
      </c>
      <c r="AG29" s="118">
        <f>IF(AF29&lt;0, 0, 0.00035*(10*AF29/((1/COS(M$1))-0.8))^(3/(1+1/(DATOS!E$6))))</f>
        <v>0</v>
      </c>
      <c r="AH29" s="118">
        <f t="shared" si="38"/>
        <v>85800.938113077063</v>
      </c>
      <c r="AI29" s="118">
        <f t="shared" si="39"/>
        <v>4020803.7494550771</v>
      </c>
      <c r="AJ29" s="118">
        <f t="shared" si="12"/>
        <v>0.71438145181527024</v>
      </c>
      <c r="AK29" s="118">
        <f t="shared" si="13"/>
        <v>4.517776488544218E-2</v>
      </c>
      <c r="AL29" s="118">
        <f t="shared" si="14"/>
        <v>90825.463221692917</v>
      </c>
      <c r="AM29" s="118">
        <f>EDisponible!F42</f>
        <v>0.40937807039878049</v>
      </c>
      <c r="AN29" s="118">
        <f t="shared" si="40"/>
        <v>-0.39062192960121955</v>
      </c>
      <c r="AO29" s="118">
        <f>IF(AN29&lt;0, 0, 0.00035*(10*AN29/((1/COS(M$1))-0.8))^(3/(1+1/(DATOS!E$6))))</f>
        <v>0</v>
      </c>
      <c r="AP29" s="118">
        <f t="shared" si="41"/>
        <v>90825.463221692917</v>
      </c>
      <c r="AQ29" s="118">
        <f t="shared" si="42"/>
        <v>3393295.6108498275</v>
      </c>
      <c r="AR29" s="118">
        <f t="shared" si="15"/>
        <v>0.84648906237810218</v>
      </c>
      <c r="AS29" s="118">
        <f t="shared" si="16"/>
        <v>5.8128420923974841E-2</v>
      </c>
      <c r="AT29" s="118">
        <f t="shared" si="17"/>
        <v>98623.457793477559</v>
      </c>
      <c r="AU29" s="118">
        <f>EDisponible!G42</f>
        <v>0.4176312108386428</v>
      </c>
      <c r="AV29" s="118">
        <f t="shared" si="43"/>
        <v>-0.38236878916135725</v>
      </c>
      <c r="AW29" s="118">
        <f>IF(AV29&lt;0, 0, 0.00035*(10*AV29/((1/COS(M$1))-0.8))^(3/(1+1/(DATOS!E$6))))</f>
        <v>0</v>
      </c>
      <c r="AX29" s="118">
        <f t="shared" si="18"/>
        <v>98623.457793477559</v>
      </c>
      <c r="AY29" s="118">
        <f t="shared" si="44"/>
        <v>2843610.6002164283</v>
      </c>
      <c r="AZ29" s="118">
        <f t="shared" si="19"/>
        <v>1.010119887646143</v>
      </c>
      <c r="BA29" s="118">
        <f t="shared" si="20"/>
        <v>7.7208607416549155E-2</v>
      </c>
      <c r="BB29" s="118">
        <f t="shared" si="21"/>
        <v>109775.60723882396</v>
      </c>
      <c r="BC29" s="118">
        <f>EDisponible!H42</f>
        <v>0.42640451589767775</v>
      </c>
      <c r="BD29" s="118">
        <f t="shared" si="45"/>
        <v>-0.37359548410232229</v>
      </c>
      <c r="BE29" s="118">
        <f>IF(BD29&lt;0, 0, 0.00035*(10*BD29/((1/COS(M$1))-0.8))^(3/(1+1/(DATOS!E$6))))</f>
        <v>0</v>
      </c>
      <c r="BF29" s="118">
        <f t="shared" si="22"/>
        <v>109775.60723882396</v>
      </c>
      <c r="BG29" s="118">
        <f t="shared" si="46"/>
        <v>2364791.8089019475</v>
      </c>
      <c r="BH29" s="118">
        <f t="shared" si="23"/>
        <v>1.214647145337393</v>
      </c>
      <c r="BI29" s="118">
        <f t="shared" si="24"/>
        <v>0.10578667050310363</v>
      </c>
      <c r="BJ29" s="118">
        <f t="shared" si="25"/>
        <v>125081.72594837435</v>
      </c>
      <c r="BK29" s="118">
        <f>EDisponible!I42</f>
        <v>0.43575502673439609</v>
      </c>
      <c r="BL29" s="118">
        <f t="shared" si="47"/>
        <v>-0.36424497326560396</v>
      </c>
      <c r="BM29" s="118">
        <f>IF(BL29&lt;0, 0, 0.00035*(10*BL29/((1/COS(M$1))-0.8))^(3/(1+1/(DATOS!E$6))))</f>
        <v>0</v>
      </c>
      <c r="BN29" s="118">
        <f t="shared" si="26"/>
        <v>125081.72594837435</v>
      </c>
    </row>
    <row r="30" spans="1:66">
      <c r="A30" s="41">
        <f>EDisponible!A43</f>
        <v>135</v>
      </c>
      <c r="B30" s="44"/>
      <c r="C30" s="118">
        <f t="shared" si="0"/>
        <v>8046010.0464697992</v>
      </c>
      <c r="D30" s="118">
        <f t="shared" si="1"/>
        <v>0.35699528131465175</v>
      </c>
      <c r="E30" s="118">
        <f t="shared" si="2"/>
        <v>2.112987313018163E-2</v>
      </c>
      <c r="F30" s="118">
        <f t="shared" si="3"/>
        <v>85005.585743036834</v>
      </c>
      <c r="G30" s="118">
        <f>EDisponible!B43</f>
        <v>0.3953084744036553</v>
      </c>
      <c r="H30" s="118">
        <f t="shared" si="27"/>
        <v>-0.40469152559634475</v>
      </c>
      <c r="I30" s="118">
        <f>IF(H30&lt;0, 0, 0.00035*(10*H30/((1/COS(M$1))-0.8))^(3/(1+1/(DATOS!E$6))))</f>
        <v>0</v>
      </c>
      <c r="J30" s="118">
        <f t="shared" si="28"/>
        <v>85005.585743036834</v>
      </c>
      <c r="K30" s="118">
        <f t="shared" si="29"/>
        <v>6950657.0969552323</v>
      </c>
      <c r="L30" s="11">
        <f t="shared" si="4"/>
        <v>0.41325411107652871</v>
      </c>
      <c r="M30" s="118">
        <f t="shared" si="5"/>
        <v>2.385144065069477E-2</v>
      </c>
      <c r="N30" s="118">
        <f t="shared" si="6"/>
        <v>82891.592615679067</v>
      </c>
      <c r="O30" s="118">
        <f>EDisponible!C43</f>
        <v>0.40217106490265375</v>
      </c>
      <c r="P30" s="118">
        <f t="shared" si="30"/>
        <v>-0.39782893509734629</v>
      </c>
      <c r="Q30" s="118">
        <f>IF(P30&lt;0, 0, 0.00035*(10*P30/((1/COS(M$1))-0.8))^(3/(1+1/(DATOS!E$6))))</f>
        <v>0</v>
      </c>
      <c r="R30" s="118">
        <f t="shared" si="31"/>
        <v>82891.592615679067</v>
      </c>
      <c r="S30" s="118">
        <f t="shared" si="32"/>
        <v>5973210.3604452442</v>
      </c>
      <c r="T30" s="118">
        <f t="shared" si="7"/>
        <v>0.48087836300241932</v>
      </c>
      <c r="U30" s="118">
        <f t="shared" si="8"/>
        <v>2.7648972256264295E-2</v>
      </c>
      <c r="V30" s="118">
        <f t="shared" si="9"/>
        <v>82576.563768390508</v>
      </c>
      <c r="W30" s="118">
        <f>EDisponible!D43</f>
        <v>0.40940393644254353</v>
      </c>
      <c r="X30" s="118">
        <f t="shared" si="33"/>
        <v>-0.39059606355745652</v>
      </c>
      <c r="Y30" s="118">
        <f>IF(X30&lt;0, 0, 0.00035*(10*X30/((1/COS(M$1))-0.8))^(3/(1+1/(DATOS!E$6))))</f>
        <v>0</v>
      </c>
      <c r="Z30" s="118">
        <f t="shared" si="34"/>
        <v>82576.563768390508</v>
      </c>
      <c r="AA30" s="118">
        <f t="shared" si="35"/>
        <v>5104570.7736893566</v>
      </c>
      <c r="AB30" s="118">
        <f t="shared" si="10"/>
        <v>0.56270894211227995</v>
      </c>
      <c r="AC30" s="118">
        <f t="shared" si="11"/>
        <v>3.3012388054278662E-2</v>
      </c>
      <c r="AD30" s="118">
        <f t="shared" si="36"/>
        <v>84257.035615781249</v>
      </c>
      <c r="AE30" s="118">
        <f>EDisponible!E43</f>
        <v>0.41704163191412141</v>
      </c>
      <c r="AF30" s="118">
        <f t="shared" si="37"/>
        <v>-0.38295836808587863</v>
      </c>
      <c r="AG30" s="118">
        <f>IF(AF30&lt;0, 0, 0.00035*(10*AF30/((1/COS(M$1))-0.8))^(3/(1+1/(DATOS!E$6))))</f>
        <v>0</v>
      </c>
      <c r="AH30" s="118">
        <f t="shared" si="38"/>
        <v>84257.035615781249</v>
      </c>
      <c r="AI30" s="118">
        <f t="shared" si="39"/>
        <v>4336044.2801076211</v>
      </c>
      <c r="AJ30" s="118">
        <f t="shared" si="12"/>
        <v>0.66244425435819287</v>
      </c>
      <c r="AK30" s="118">
        <f t="shared" si="13"/>
        <v>4.0686646201479916E-2</v>
      </c>
      <c r="AL30" s="118">
        <f t="shared" si="14"/>
        <v>88209.549769344725</v>
      </c>
      <c r="AM30" s="118">
        <f>EDisponible!F43</f>
        <v>0.42512338079873357</v>
      </c>
      <c r="AN30" s="118">
        <f t="shared" si="40"/>
        <v>-0.37487661920126647</v>
      </c>
      <c r="AO30" s="118">
        <f>IF(AN30&lt;0, 0, 0.00035*(10*AN30/((1/COS(M$1))-0.8))^(3/(1+1/(DATOS!E$6))))</f>
        <v>0</v>
      </c>
      <c r="AP30" s="118">
        <f t="shared" si="41"/>
        <v>88209.549769344725</v>
      </c>
      <c r="AQ30" s="118">
        <f t="shared" si="42"/>
        <v>3659338.0182093554</v>
      </c>
      <c r="AR30" s="118">
        <f t="shared" si="15"/>
        <v>0.78494733356323332</v>
      </c>
      <c r="AS30" s="118">
        <f t="shared" si="16"/>
        <v>5.1822668815212219E-2</v>
      </c>
      <c r="AT30" s="118">
        <f t="shared" si="17"/>
        <v>94818.33110028923</v>
      </c>
      <c r="AU30" s="118">
        <f>EDisponible!G43</f>
        <v>0.43369394971705216</v>
      </c>
      <c r="AV30" s="118">
        <f t="shared" si="43"/>
        <v>-0.36630605028294788</v>
      </c>
      <c r="AW30" s="118">
        <f>IF(AV30&lt;0, 0, 0.00035*(10*AV30/((1/COS(M$1))-0.8))^(3/(1+1/(DATOS!E$6))))</f>
        <v>0</v>
      </c>
      <c r="AX30" s="118">
        <f t="shared" si="18"/>
        <v>94818.33110028923</v>
      </c>
      <c r="AY30" s="118">
        <f t="shared" si="44"/>
        <v>3066556.4017126863</v>
      </c>
      <c r="AZ30" s="118">
        <f t="shared" si="19"/>
        <v>0.93668181625348812</v>
      </c>
      <c r="BA30" s="118">
        <f t="shared" si="20"/>
        <v>6.8229357991678938E-2</v>
      </c>
      <c r="BB30" s="118">
        <f t="shared" si="21"/>
        <v>104614.58726706484</v>
      </c>
      <c r="BC30" s="118">
        <f>EDisponible!H43</f>
        <v>0.44280468958605002</v>
      </c>
      <c r="BD30" s="118">
        <f t="shared" si="45"/>
        <v>-0.35719531041395003</v>
      </c>
      <c r="BE30" s="118">
        <f>IF(BD30&lt;0, 0, 0.00035*(10*BD30/((1/COS(M$1))-0.8))^(3/(1+1/(DATOS!E$6))))</f>
        <v>0</v>
      </c>
      <c r="BF30" s="118">
        <f t="shared" si="22"/>
        <v>104614.58726706484</v>
      </c>
      <c r="BG30" s="118">
        <f t="shared" si="46"/>
        <v>2550197.0838602362</v>
      </c>
      <c r="BH30" s="118">
        <f t="shared" si="23"/>
        <v>1.1263394653608747</v>
      </c>
      <c r="BI30" s="118">
        <f t="shared" si="24"/>
        <v>9.280309046064783E-2</v>
      </c>
      <c r="BJ30" s="118">
        <f t="shared" si="25"/>
        <v>118333.0853329809</v>
      </c>
      <c r="BK30" s="118">
        <f>EDisponible!I43</f>
        <v>0.4525148354549498</v>
      </c>
      <c r="BL30" s="118">
        <f t="shared" si="47"/>
        <v>-0.34748516454505024</v>
      </c>
      <c r="BM30" s="118">
        <f>IF(BL30&lt;0, 0, 0.00035*(10*BL30/((1/COS(M$1))-0.8))^(3/(1+1/(DATOS!E$6))))</f>
        <v>0</v>
      </c>
      <c r="BN30" s="118">
        <f t="shared" si="26"/>
        <v>118333.0853329809</v>
      </c>
    </row>
    <row r="31" spans="1:66">
      <c r="A31" s="41">
        <f>EDisponible!A44</f>
        <v>140</v>
      </c>
      <c r="B31" s="44"/>
      <c r="C31" s="118">
        <f t="shared" si="0"/>
        <v>8653047.8414709512</v>
      </c>
      <c r="D31" s="118">
        <f t="shared" si="1"/>
        <v>0.33195096948773095</v>
      </c>
      <c r="E31" s="118">
        <f t="shared" si="2"/>
        <v>2.0046216984220992E-2</v>
      </c>
      <c r="F31" s="118">
        <f t="shared" si="3"/>
        <v>86730.43730248588</v>
      </c>
      <c r="G31" s="118">
        <f>EDisponible!B44</f>
        <v>0.40994952901119808</v>
      </c>
      <c r="H31" s="118">
        <f t="shared" si="27"/>
        <v>-0.39005047098880197</v>
      </c>
      <c r="I31" s="118">
        <f>IF(H31&lt;0, 0, 0.00035*(10*H31/((1/COS(M$1))-0.8))^(3/(1+1/(DATOS!E$6))))</f>
        <v>0</v>
      </c>
      <c r="J31" s="118">
        <f t="shared" si="28"/>
        <v>86730.43730248588</v>
      </c>
      <c r="K31" s="118">
        <f t="shared" si="29"/>
        <v>7475055.094667905</v>
      </c>
      <c r="L31" s="11">
        <f t="shared" si="4"/>
        <v>0.38426307012090483</v>
      </c>
      <c r="M31" s="118">
        <f t="shared" si="5"/>
        <v>2.2399325982862546E-2</v>
      </c>
      <c r="N31" s="118">
        <f t="shared" si="6"/>
        <v>83718.097902661932</v>
      </c>
      <c r="O31" s="118">
        <f>EDisponible!C44</f>
        <v>0.41706628952867797</v>
      </c>
      <c r="P31" s="118">
        <f t="shared" si="30"/>
        <v>-0.38293371047132208</v>
      </c>
      <c r="Q31" s="118">
        <f>IF(P31&lt;0, 0, 0.00035*(10*P31/((1/COS(M$1))-0.8))^(3/(1+1/(DATOS!E$6))))</f>
        <v>0</v>
      </c>
      <c r="R31" s="118">
        <f t="shared" si="31"/>
        <v>83718.097902661932</v>
      </c>
      <c r="S31" s="118">
        <f t="shared" si="32"/>
        <v>6423864.091343035</v>
      </c>
      <c r="T31" s="118">
        <f t="shared" si="7"/>
        <v>0.44714327376117807</v>
      </c>
      <c r="U31" s="118">
        <f t="shared" si="8"/>
        <v>2.5682730023489291E-2</v>
      </c>
      <c r="V31" s="118">
        <f t="shared" si="9"/>
        <v>82491.183582775266</v>
      </c>
      <c r="W31" s="118">
        <f>EDisponible!D44</f>
        <v>0.42456704519967475</v>
      </c>
      <c r="X31" s="118">
        <f t="shared" si="33"/>
        <v>-0.37543295480032529</v>
      </c>
      <c r="Y31" s="118">
        <f>IF(X31&lt;0, 0, 0.00035*(10*X31/((1/COS(M$1))-0.8))^(3/(1+1/(DATOS!E$6))))</f>
        <v>0</v>
      </c>
      <c r="Z31" s="118">
        <f t="shared" si="34"/>
        <v>82491.183582775266</v>
      </c>
      <c r="AA31" s="118">
        <f t="shared" si="35"/>
        <v>5489689.2819923945</v>
      </c>
      <c r="AB31" s="118">
        <f t="shared" si="10"/>
        <v>0.52323318724470924</v>
      </c>
      <c r="AC31" s="118">
        <f t="shared" si="11"/>
        <v>3.0320021541204167E-2</v>
      </c>
      <c r="AD31" s="118">
        <f t="shared" si="36"/>
        <v>83223.748642263527</v>
      </c>
      <c r="AE31" s="118">
        <f>EDisponible!E44</f>
        <v>0.4324876182813111</v>
      </c>
      <c r="AF31" s="118">
        <f t="shared" si="37"/>
        <v>-0.36751238171868894</v>
      </c>
      <c r="AG31" s="118">
        <f>IF(AF31&lt;0, 0, 0.00035*(10*AF31/((1/COS(M$1))-0.8))^(3/(1+1/(DATOS!E$6))))</f>
        <v>0</v>
      </c>
      <c r="AH31" s="118">
        <f t="shared" si="38"/>
        <v>83223.748642263527</v>
      </c>
      <c r="AI31" s="118">
        <f t="shared" si="39"/>
        <v>4663180.6798413917</v>
      </c>
      <c r="AJ31" s="118">
        <f t="shared" si="12"/>
        <v>0.61597176202439108</v>
      </c>
      <c r="AK31" s="118">
        <f t="shared" si="13"/>
        <v>3.6955302778199792E-2</v>
      </c>
      <c r="AL31" s="118">
        <f t="shared" si="14"/>
        <v>86164.626966495096</v>
      </c>
      <c r="AM31" s="118">
        <f>EDisponible!F44</f>
        <v>0.44086869119868666</v>
      </c>
      <c r="AN31" s="118">
        <f t="shared" si="40"/>
        <v>-0.35913130880131339</v>
      </c>
      <c r="AO31" s="118">
        <f>IF(AN31&lt;0, 0, 0.00035*(10*AN31/((1/COS(M$1))-0.8))^(3/(1+1/(DATOS!E$6))))</f>
        <v>0</v>
      </c>
      <c r="AP31" s="118">
        <f t="shared" si="41"/>
        <v>86164.626966495096</v>
      </c>
      <c r="AQ31" s="118">
        <f t="shared" si="42"/>
        <v>3935419.7616956574</v>
      </c>
      <c r="AR31" s="118">
        <f t="shared" si="15"/>
        <v>0.72988087521377187</v>
      </c>
      <c r="AS31" s="118">
        <f t="shared" si="16"/>
        <v>4.6583678640250294E-2</v>
      </c>
      <c r="AT31" s="118">
        <f t="shared" si="17"/>
        <v>91663.164746660448</v>
      </c>
      <c r="AU31" s="118">
        <f>EDisponible!G44</f>
        <v>0.44975668859546147</v>
      </c>
      <c r="AV31" s="118">
        <f t="shared" si="43"/>
        <v>-0.35024331140453857</v>
      </c>
      <c r="AW31" s="118">
        <f>IF(AV31&lt;0, 0, 0.00035*(10*AV31/((1/COS(M$1))-0.8))^(3/(1+1/(DATOS!E$6))))</f>
        <v>0</v>
      </c>
      <c r="AX31" s="118">
        <f t="shared" si="18"/>
        <v>91663.164746660448</v>
      </c>
      <c r="AY31" s="118">
        <f t="shared" si="44"/>
        <v>3297915.2523220112</v>
      </c>
      <c r="AZ31" s="118">
        <f t="shared" si="19"/>
        <v>0.87097071944999083</v>
      </c>
      <c r="BA31" s="118">
        <f t="shared" si="20"/>
        <v>6.0769153609388553E-2</v>
      </c>
      <c r="BB31" s="118">
        <f t="shared" si="21"/>
        <v>100205.75927955085</v>
      </c>
      <c r="BC31" s="118">
        <f>EDisponible!H44</f>
        <v>0.45920486327442223</v>
      </c>
      <c r="BD31" s="118">
        <f t="shared" si="45"/>
        <v>-0.34079513672557782</v>
      </c>
      <c r="BE31" s="118">
        <f>IF(BD31&lt;0, 0, 0.00035*(10*BD31/((1/COS(M$1))-0.8))^(3/(1+1/(DATOS!E$6))))</f>
        <v>0</v>
      </c>
      <c r="BF31" s="118">
        <f t="shared" si="22"/>
        <v>100205.75927955085</v>
      </c>
      <c r="BG31" s="118">
        <f t="shared" si="46"/>
        <v>2742598.7842886494</v>
      </c>
      <c r="BH31" s="118">
        <f t="shared" si="23"/>
        <v>1.047323303887854</v>
      </c>
      <c r="BI31" s="118">
        <f t="shared" si="24"/>
        <v>8.2015979406324213E-2</v>
      </c>
      <c r="BJ31" s="118">
        <f t="shared" si="25"/>
        <v>112468.46270601384</v>
      </c>
      <c r="BK31" s="118">
        <f>EDisponible!I44</f>
        <v>0.46927464417550352</v>
      </c>
      <c r="BL31" s="118">
        <f t="shared" si="47"/>
        <v>-0.33072535582449653</v>
      </c>
      <c r="BM31" s="118">
        <f>IF(BL31&lt;0, 0, 0.00035*(10*BL31/((1/COS(M$1))-0.8))^(3/(1+1/(DATOS!E$6))))</f>
        <v>0</v>
      </c>
      <c r="BN31" s="118">
        <f t="shared" si="26"/>
        <v>112468.46270601384</v>
      </c>
    </row>
    <row r="32" spans="1:66">
      <c r="A32" s="41">
        <f>EDisponible!A45</f>
        <v>145</v>
      </c>
      <c r="B32" s="44"/>
      <c r="C32" s="118">
        <f t="shared" si="0"/>
        <v>9282159.7381085064</v>
      </c>
      <c r="D32" s="118">
        <f t="shared" si="1"/>
        <v>0.30945250901115473</v>
      </c>
      <c r="E32" s="118">
        <f t="shared" si="2"/>
        <v>1.913989781238078E-2</v>
      </c>
      <c r="F32" s="118">
        <f t="shared" si="3"/>
        <v>88829.794432795985</v>
      </c>
      <c r="G32" s="118">
        <f>EDisponible!B45</f>
        <v>0.42459058361874086</v>
      </c>
      <c r="H32" s="118">
        <f t="shared" si="27"/>
        <v>-0.37540941638125919</v>
      </c>
      <c r="I32" s="118">
        <f>IF(H32&lt;0, 0, 0.00035*(10*H32/((1/COS(M$1))-0.8))^(3/(1+1/(DATOS!E$6))))</f>
        <v>0</v>
      </c>
      <c r="J32" s="118">
        <f t="shared" si="28"/>
        <v>88829.794432795985</v>
      </c>
      <c r="K32" s="118">
        <f t="shared" si="29"/>
        <v>8018522.110479218</v>
      </c>
      <c r="L32" s="11">
        <f t="shared" si="4"/>
        <v>0.35821908082614679</v>
      </c>
      <c r="M32" s="118">
        <f t="shared" si="5"/>
        <v>2.1184845385790817E-2</v>
      </c>
      <c r="N32" s="118">
        <f t="shared" si="6"/>
        <v>84935.57556652365</v>
      </c>
      <c r="O32" s="118">
        <f>EDisponible!C45</f>
        <v>0.43196151415470219</v>
      </c>
      <c r="P32" s="118">
        <f t="shared" si="30"/>
        <v>-0.36803848584529786</v>
      </c>
      <c r="Q32" s="118">
        <f>IF(P32&lt;0, 0, 0.00035*(10*P32/((1/COS(M$1))-0.8))^(3/(1+1/(DATOS!E$6))))</f>
        <v>0</v>
      </c>
      <c r="R32" s="118">
        <f t="shared" si="31"/>
        <v>84935.57556652365</v>
      </c>
      <c r="S32" s="118">
        <f t="shared" si="32"/>
        <v>6890905.230637108</v>
      </c>
      <c r="T32" s="118">
        <f t="shared" si="7"/>
        <v>0.41683748707344065</v>
      </c>
      <c r="U32" s="118">
        <f t="shared" si="8"/>
        <v>2.4038257246134117E-2</v>
      </c>
      <c r="V32" s="118">
        <f t="shared" si="9"/>
        <v>82822.67629639298</v>
      </c>
      <c r="W32" s="118">
        <f>EDisponible!D45</f>
        <v>0.43973015395680598</v>
      </c>
      <c r="X32" s="118">
        <f t="shared" si="33"/>
        <v>-0.36026984604319406</v>
      </c>
      <c r="Y32" s="118">
        <f>IF(X32&lt;0, 0, 0.00035*(10*X32/((1/COS(M$1))-0.8))^(3/(1+1/(DATOS!E$6))))</f>
        <v>0</v>
      </c>
      <c r="Z32" s="118">
        <f t="shared" si="34"/>
        <v>82822.67629639298</v>
      </c>
      <c r="AA32" s="118">
        <f t="shared" si="35"/>
        <v>5888812.0996882701</v>
      </c>
      <c r="AB32" s="118">
        <f t="shared" si="10"/>
        <v>0.48777029583811182</v>
      </c>
      <c r="AC32" s="118">
        <f t="shared" si="11"/>
        <v>2.8068252474498168E-2</v>
      </c>
      <c r="AD32" s="118">
        <f t="shared" si="36"/>
        <v>82644.332394465018</v>
      </c>
      <c r="AE32" s="118">
        <f>EDisponible!E45</f>
        <v>0.44793360464850079</v>
      </c>
      <c r="AF32" s="118">
        <f t="shared" si="37"/>
        <v>-0.35206639535149925</v>
      </c>
      <c r="AG32" s="118">
        <f>IF(AF32&lt;0, 0, 0.00035*(10*AF32/((1/COS(M$1))-0.8))^(3/(1+1/(DATOS!E$6))))</f>
        <v>0</v>
      </c>
      <c r="AH32" s="118">
        <f t="shared" si="38"/>
        <v>82644.332394465018</v>
      </c>
      <c r="AI32" s="118">
        <f t="shared" si="39"/>
        <v>5002212.9486563904</v>
      </c>
      <c r="AJ32" s="118">
        <f t="shared" si="12"/>
        <v>0.57422337862915895</v>
      </c>
      <c r="AK32" s="118">
        <f t="shared" si="13"/>
        <v>3.3834582156769842E-2</v>
      </c>
      <c r="AL32" s="118">
        <f t="shared" si="14"/>
        <v>84623.892488486279</v>
      </c>
      <c r="AM32" s="118">
        <f>EDisponible!F45</f>
        <v>0.45661400159863974</v>
      </c>
      <c r="AN32" s="118">
        <f t="shared" si="40"/>
        <v>-0.3433859984013603</v>
      </c>
      <c r="AO32" s="118">
        <f>IF(AN32&lt;0, 0, 0.00035*(10*AN32/((1/COS(M$1))-0.8))^(3/(1+1/(DATOS!E$6))))</f>
        <v>0</v>
      </c>
      <c r="AP32" s="118">
        <f t="shared" si="41"/>
        <v>84623.892488486279</v>
      </c>
      <c r="AQ32" s="118">
        <f t="shared" si="42"/>
        <v>4221540.8413087353</v>
      </c>
      <c r="AR32" s="118">
        <f t="shared" si="15"/>
        <v>0.68041213575219628</v>
      </c>
      <c r="AS32" s="118">
        <f t="shared" si="16"/>
        <v>4.2202032991536367E-2</v>
      </c>
      <c r="AT32" s="118">
        <f t="shared" si="17"/>
        <v>89078.802930014717</v>
      </c>
      <c r="AU32" s="118">
        <f>EDisponible!G45</f>
        <v>0.46581942747387084</v>
      </c>
      <c r="AV32" s="118">
        <f t="shared" si="43"/>
        <v>-0.3341805725261292</v>
      </c>
      <c r="AW32" s="118">
        <f>IF(AV32&lt;0, 0, 0.00035*(10*AV32/((1/COS(M$1))-0.8))^(3/(1+1/(DATOS!E$6))))</f>
        <v>0</v>
      </c>
      <c r="AX32" s="118">
        <f t="shared" si="18"/>
        <v>89078.802930014717</v>
      </c>
      <c r="AY32" s="118">
        <f t="shared" si="44"/>
        <v>3537687.1520444024</v>
      </c>
      <c r="AZ32" s="118">
        <f t="shared" si="19"/>
        <v>0.81193941028393912</v>
      </c>
      <c r="BA32" s="118">
        <f t="shared" si="20"/>
        <v>5.4529788583204522E-2</v>
      </c>
      <c r="BB32" s="118">
        <f t="shared" si="21"/>
        <v>96454.666237250087</v>
      </c>
      <c r="BC32" s="118">
        <f>EDisponible!H45</f>
        <v>0.47560503696279444</v>
      </c>
      <c r="BD32" s="118">
        <f t="shared" si="45"/>
        <v>-0.32439496303720561</v>
      </c>
      <c r="BE32" s="118">
        <f>IF(BD32&lt;0, 0, 0.00035*(10*BD32/((1/COS(M$1))-0.8))^(3/(1+1/(DATOS!E$6))))</f>
        <v>0</v>
      </c>
      <c r="BF32" s="118">
        <f t="shared" si="22"/>
        <v>96454.666237250087</v>
      </c>
      <c r="BG32" s="118">
        <f t="shared" si="46"/>
        <v>2941996.9101871867</v>
      </c>
      <c r="BH32" s="118">
        <f t="shared" si="23"/>
        <v>0.97633944143647733</v>
      </c>
      <c r="BI32" s="118">
        <f t="shared" si="24"/>
        <v>7.2994145687440712E-2</v>
      </c>
      <c r="BJ32" s="118">
        <f t="shared" si="25"/>
        <v>107374.27553710196</v>
      </c>
      <c r="BK32" s="118">
        <f>EDisponible!I45</f>
        <v>0.48603445289605718</v>
      </c>
      <c r="BL32" s="118">
        <f t="shared" si="47"/>
        <v>-0.31396554710394287</v>
      </c>
      <c r="BM32" s="118">
        <f>IF(BL32&lt;0, 0, 0.00035*(10*BL32/((1/COS(M$1))-0.8))^(3/(1+1/(DATOS!E$6))))</f>
        <v>0</v>
      </c>
      <c r="BN32" s="118">
        <f t="shared" si="26"/>
        <v>107374.27553710196</v>
      </c>
    </row>
    <row r="33" spans="1:66">
      <c r="A33" s="41">
        <f>EDisponible!A46</f>
        <v>150</v>
      </c>
      <c r="B33" s="44"/>
      <c r="C33" s="118">
        <f t="shared" si="0"/>
        <v>9933345.7363824677</v>
      </c>
      <c r="D33" s="118">
        <f t="shared" si="1"/>
        <v>0.28916617786486792</v>
      </c>
      <c r="E33" s="118">
        <f t="shared" si="2"/>
        <v>1.8377202924923702E-2</v>
      </c>
      <c r="F33" s="118">
        <f t="shared" si="3"/>
        <v>91273.555160463133</v>
      </c>
      <c r="G33" s="118">
        <f>EDisponible!B46</f>
        <v>0.43923163822628364</v>
      </c>
      <c r="H33" s="118">
        <f t="shared" si="27"/>
        <v>-0.36076836177371641</v>
      </c>
      <c r="I33" s="118">
        <f>IF(H33&lt;0, 0, 0.00035*(10*H33/((1/COS(M$1))-0.8))^(3/(1+1/(DATOS!E$6))))</f>
        <v>0</v>
      </c>
      <c r="J33" s="118">
        <f t="shared" si="28"/>
        <v>91273.555160463133</v>
      </c>
      <c r="K33" s="118">
        <f t="shared" si="29"/>
        <v>8581058.1443891749</v>
      </c>
      <c r="L33" s="11">
        <f t="shared" si="4"/>
        <v>0.33473582997198831</v>
      </c>
      <c r="M33" s="118">
        <f t="shared" si="5"/>
        <v>2.0162823375132376E-2</v>
      </c>
      <c r="N33" s="118">
        <f t="shared" si="6"/>
        <v>86509.17986853006</v>
      </c>
      <c r="O33" s="118">
        <f>EDisponible!C46</f>
        <v>0.4468567387807264</v>
      </c>
      <c r="P33" s="118">
        <f t="shared" si="30"/>
        <v>-0.35314326121927364</v>
      </c>
      <c r="Q33" s="118">
        <f>IF(P33&lt;0, 0, 0.00035*(10*P33/((1/COS(M$1))-0.8))^(3/(1+1/(DATOS!E$6))))</f>
        <v>0</v>
      </c>
      <c r="R33" s="118">
        <f t="shared" si="31"/>
        <v>86509.17986853006</v>
      </c>
      <c r="S33" s="118">
        <f t="shared" si="32"/>
        <v>7374333.7783274632</v>
      </c>
      <c r="T33" s="118">
        <f t="shared" si="7"/>
        <v>0.38951147403195957</v>
      </c>
      <c r="U33" s="118">
        <f t="shared" si="8"/>
        <v>2.2654383861546536E-2</v>
      </c>
      <c r="V33" s="118">
        <f t="shared" si="9"/>
        <v>83530.494068699583</v>
      </c>
      <c r="W33" s="118">
        <f>EDisponible!D46</f>
        <v>0.45489326271393726</v>
      </c>
      <c r="X33" s="118">
        <f t="shared" si="33"/>
        <v>-0.34510673728606278</v>
      </c>
      <c r="Y33" s="118">
        <f>IF(X33&lt;0, 0, 0.00035*(10*X33/((1/COS(M$1))-0.8))^(3/(1+1/(DATOS!E$6))))</f>
        <v>0</v>
      </c>
      <c r="Z33" s="118">
        <f t="shared" si="34"/>
        <v>83530.494068699583</v>
      </c>
      <c r="AA33" s="118">
        <f t="shared" si="35"/>
        <v>6301939.2267769827</v>
      </c>
      <c r="AB33" s="118">
        <f t="shared" si="10"/>
        <v>0.4557942431109468</v>
      </c>
      <c r="AC33" s="118">
        <f t="shared" si="11"/>
        <v>2.6173320966623767E-2</v>
      </c>
      <c r="AD33" s="118">
        <f t="shared" si="36"/>
        <v>82471.339047295391</v>
      </c>
      <c r="AE33" s="118">
        <f>EDisponible!E46</f>
        <v>0.46337959101569048</v>
      </c>
      <c r="AF33" s="118">
        <f t="shared" si="37"/>
        <v>-0.33662040898430956</v>
      </c>
      <c r="AG33" s="118">
        <f>IF(AF33&lt;0, 0, 0.00035*(10*AF33/((1/COS(M$1))-0.8))^(3/(1+1/(DATOS!E$6))))</f>
        <v>0</v>
      </c>
      <c r="AH33" s="118">
        <f t="shared" si="38"/>
        <v>82471.339047295391</v>
      </c>
      <c r="AI33" s="118">
        <f t="shared" si="39"/>
        <v>5353141.0865526181</v>
      </c>
      <c r="AJ33" s="118">
        <f t="shared" si="12"/>
        <v>0.53657984603013631</v>
      </c>
      <c r="AK33" s="118">
        <f t="shared" si="13"/>
        <v>3.1208401737002518E-2</v>
      </c>
      <c r="AL33" s="118">
        <f t="shared" si="14"/>
        <v>83531.488791994139</v>
      </c>
      <c r="AM33" s="118">
        <f>EDisponible!F46</f>
        <v>0.47235931199859288</v>
      </c>
      <c r="AN33" s="118">
        <f t="shared" si="40"/>
        <v>-0.32764068800140717</v>
      </c>
      <c r="AO33" s="118">
        <f>IF(AN33&lt;0, 0, 0.00035*(10*AN33/((1/COS(M$1))-0.8))^(3/(1+1/(DATOS!E$6))))</f>
        <v>0</v>
      </c>
      <c r="AP33" s="118">
        <f t="shared" si="41"/>
        <v>83531.488791994139</v>
      </c>
      <c r="AQ33" s="118">
        <f t="shared" si="42"/>
        <v>4517701.2570485873</v>
      </c>
      <c r="AR33" s="118">
        <f t="shared" si="15"/>
        <v>0.63580734018621898</v>
      </c>
      <c r="AS33" s="118">
        <f t="shared" si="16"/>
        <v>3.8514746173872273E-2</v>
      </c>
      <c r="AT33" s="118">
        <f t="shared" si="17"/>
        <v>86999.058602305013</v>
      </c>
      <c r="AU33" s="118">
        <f>EDisponible!G46</f>
        <v>0.48188216635228015</v>
      </c>
      <c r="AV33" s="118">
        <f t="shared" si="43"/>
        <v>-0.31811783364771989</v>
      </c>
      <c r="AW33" s="118">
        <f>IF(AV33&lt;0, 0, 0.00035*(10*AV33/((1/COS(M$1))-0.8))^(3/(1+1/(DATOS!E$6))))</f>
        <v>0</v>
      </c>
      <c r="AX33" s="118">
        <f t="shared" si="18"/>
        <v>86999.058602305013</v>
      </c>
      <c r="AY33" s="118">
        <f t="shared" si="44"/>
        <v>3785872.1008798601</v>
      </c>
      <c r="AZ33" s="118">
        <f t="shared" si="19"/>
        <v>0.75871227116532525</v>
      </c>
      <c r="BA33" s="118">
        <f t="shared" si="20"/>
        <v>4.9279174942552073E-2</v>
      </c>
      <c r="BB33" s="118">
        <f t="shared" si="21"/>
        <v>93282.326784692894</v>
      </c>
      <c r="BC33" s="118">
        <f>EDisponible!H46</f>
        <v>0.49200521065116665</v>
      </c>
      <c r="BD33" s="118">
        <f t="shared" si="45"/>
        <v>-0.3079947893488334</v>
      </c>
      <c r="BE33" s="118">
        <f>IF(BD33&lt;0, 0, 0.00035*(10*BD33/((1/COS(M$1))-0.8))^(3/(1+1/(DATOS!E$6))))</f>
        <v>0</v>
      </c>
      <c r="BF33" s="118">
        <f t="shared" si="22"/>
        <v>93282.326784692894</v>
      </c>
      <c r="BG33" s="118">
        <f t="shared" si="46"/>
        <v>3148391.4615558474</v>
      </c>
      <c r="BH33" s="118">
        <f t="shared" si="23"/>
        <v>0.91233496694230842</v>
      </c>
      <c r="BI33" s="118">
        <f t="shared" si="24"/>
        <v>6.5402000815442562E-2</v>
      </c>
      <c r="BJ33" s="118">
        <f t="shared" si="25"/>
        <v>102955.55046800397</v>
      </c>
      <c r="BK33" s="118">
        <f>EDisponible!I46</f>
        <v>0.50279426161661089</v>
      </c>
      <c r="BL33" s="118">
        <f t="shared" si="47"/>
        <v>-0.29720573838338915</v>
      </c>
      <c r="BM33" s="118">
        <f>IF(BL33&lt;0, 0, 0.00035*(10*BL33/((1/COS(M$1))-0.8))^(3/(1+1/(DATOS!E$6))))</f>
        <v>0</v>
      </c>
      <c r="BN33" s="118">
        <f t="shared" si="26"/>
        <v>102955.55046800397</v>
      </c>
    </row>
    <row r="34" spans="1:66">
      <c r="A34" s="41">
        <f>EDisponible!A47</f>
        <v>155</v>
      </c>
      <c r="B34" s="44"/>
      <c r="C34" s="118">
        <f t="shared" si="0"/>
        <v>10606605.836292835</v>
      </c>
      <c r="D34" s="118">
        <f t="shared" si="1"/>
        <v>0.27081119675169735</v>
      </c>
      <c r="E34" s="118">
        <f t="shared" si="2"/>
        <v>1.7731665423646233E-2</v>
      </c>
      <c r="F34" s="118">
        <f t="shared" si="3"/>
        <v>94036.392984819002</v>
      </c>
      <c r="G34" s="118">
        <f>EDisponible!B47</f>
        <v>0.45387269283382642</v>
      </c>
      <c r="H34" s="118">
        <f t="shared" si="27"/>
        <v>-0.34612730716617363</v>
      </c>
      <c r="I34" s="118">
        <f>IF(H34&lt;0, 0, 0.00035*(10*H34/((1/COS(M$1))-0.8))^(3/(1+1/(DATOS!E$6))))</f>
        <v>0</v>
      </c>
      <c r="J34" s="118">
        <f t="shared" si="28"/>
        <v>94036.392984819002</v>
      </c>
      <c r="K34" s="118">
        <f t="shared" si="29"/>
        <v>9162663.1963977758</v>
      </c>
      <c r="L34" s="11">
        <f t="shared" si="4"/>
        <v>0.31348829029634695</v>
      </c>
      <c r="M34" s="118">
        <f t="shared" si="5"/>
        <v>1.9297793930381894E-2</v>
      </c>
      <c r="N34" s="118">
        <f t="shared" si="6"/>
        <v>88409.593108789282</v>
      </c>
      <c r="O34" s="118">
        <f>EDisponible!C47</f>
        <v>0.46175196340675062</v>
      </c>
      <c r="P34" s="118">
        <f t="shared" si="30"/>
        <v>-0.33824803659324942</v>
      </c>
      <c r="Q34" s="118">
        <f>IF(P34&lt;0, 0, 0.00035*(10*P34/((1/COS(M$1))-0.8))^(3/(1+1/(DATOS!E$6))))</f>
        <v>0</v>
      </c>
      <c r="R34" s="118">
        <f t="shared" si="31"/>
        <v>88409.593108789282</v>
      </c>
      <c r="S34" s="118">
        <f t="shared" si="32"/>
        <v>7874149.7344141025</v>
      </c>
      <c r="T34" s="118">
        <f t="shared" si="7"/>
        <v>0.36478702042535238</v>
      </c>
      <c r="U34" s="118">
        <f t="shared" si="8"/>
        <v>2.1483086949160537E-2</v>
      </c>
      <c r="V34" s="118">
        <f t="shared" si="9"/>
        <v>84580.52169756376</v>
      </c>
      <c r="W34" s="118">
        <f>EDisponible!D47</f>
        <v>0.47005637147106849</v>
      </c>
      <c r="X34" s="118">
        <f t="shared" si="33"/>
        <v>-0.32994362852893155</v>
      </c>
      <c r="Y34" s="118">
        <f>IF(X34&lt;0, 0, 0.00035*(10*X34/((1/COS(M$1))-0.8))^(3/(1+1/(DATOS!E$6))))</f>
        <v>0</v>
      </c>
      <c r="Z34" s="118">
        <f t="shared" si="34"/>
        <v>84580.52169756376</v>
      </c>
      <c r="AA34" s="118">
        <f t="shared" si="35"/>
        <v>6729070.6632585339</v>
      </c>
      <c r="AB34" s="118">
        <f t="shared" si="10"/>
        <v>0.42686245452638094</v>
      </c>
      <c r="AC34" s="118">
        <f t="shared" si="11"/>
        <v>2.4569469451683548E-2</v>
      </c>
      <c r="AD34" s="118">
        <f t="shared" si="36"/>
        <v>82664.848049575245</v>
      </c>
      <c r="AE34" s="118">
        <f>EDisponible!E47</f>
        <v>0.47882557738288017</v>
      </c>
      <c r="AF34" s="118">
        <f t="shared" si="37"/>
        <v>-0.32117442261711987</v>
      </c>
      <c r="AG34" s="118">
        <f>IF(AF34&lt;0, 0, 0.00035*(10*AF34/((1/COS(M$1))-0.8))^(3/(1+1/(DATOS!E$6))))</f>
        <v>0</v>
      </c>
      <c r="AH34" s="118">
        <f t="shared" si="38"/>
        <v>82664.848049575245</v>
      </c>
      <c r="AI34" s="118">
        <f t="shared" si="39"/>
        <v>5715965.0935300728</v>
      </c>
      <c r="AJ34" s="118">
        <f t="shared" si="12"/>
        <v>0.50252014716662086</v>
      </c>
      <c r="AK34" s="118">
        <f t="shared" si="13"/>
        <v>2.8985628287277743E-2</v>
      </c>
      <c r="AL34" s="118">
        <f t="shared" si="14"/>
        <v>82840.419752058719</v>
      </c>
      <c r="AM34" s="118">
        <f>EDisponible!F47</f>
        <v>0.48810462239854596</v>
      </c>
      <c r="AN34" s="118">
        <f t="shared" si="40"/>
        <v>-0.31189537760145408</v>
      </c>
      <c r="AO34" s="118">
        <f>IF(AN34&lt;0, 0, 0.00035*(10*AN34/((1/COS(M$1))-0.8))^(3/(1+1/(DATOS!E$6))))</f>
        <v>0</v>
      </c>
      <c r="AP34" s="118">
        <f t="shared" si="41"/>
        <v>82840.419752058719</v>
      </c>
      <c r="AQ34" s="118">
        <f t="shared" si="42"/>
        <v>4823901.0089152129</v>
      </c>
      <c r="AR34" s="118">
        <f t="shared" si="15"/>
        <v>0.59544912192257771</v>
      </c>
      <c r="AS34" s="118">
        <f t="shared" si="16"/>
        <v>3.5393862635889756E-2</v>
      </c>
      <c r="AT34" s="118">
        <f t="shared" si="17"/>
        <v>85368.244839337523</v>
      </c>
      <c r="AU34" s="118">
        <f>EDisponible!G47</f>
        <v>0.49794490523068952</v>
      </c>
      <c r="AV34" s="118">
        <f t="shared" si="43"/>
        <v>-0.30205509476931053</v>
      </c>
      <c r="AW34" s="118">
        <f>IF(AV34&lt;0, 0, 0.00035*(10*AV34/((1/COS(M$1))-0.8))^(3/(1+1/(DATOS!E$6))))</f>
        <v>0</v>
      </c>
      <c r="AX34" s="118">
        <f t="shared" si="18"/>
        <v>85368.244839337523</v>
      </c>
      <c r="AY34" s="118">
        <f t="shared" si="44"/>
        <v>4042470.0988283837</v>
      </c>
      <c r="AZ34" s="118">
        <f t="shared" si="19"/>
        <v>0.71055259526409242</v>
      </c>
      <c r="BA34" s="118">
        <f t="shared" si="20"/>
        <v>4.4835106855166458E-2</v>
      </c>
      <c r="BB34" s="118">
        <f t="shared" si="21"/>
        <v>90622.289419892943</v>
      </c>
      <c r="BC34" s="118">
        <f>EDisponible!H47</f>
        <v>0.50840538433953886</v>
      </c>
      <c r="BD34" s="118">
        <f t="shared" si="45"/>
        <v>-0.29159461566046119</v>
      </c>
      <c r="BE34" s="118">
        <f>IF(BD34&lt;0, 0, 0.00035*(10*BD34/((1/COS(M$1))-0.8))^(3/(1+1/(DATOS!E$6))))</f>
        <v>0</v>
      </c>
      <c r="BF34" s="118">
        <f t="shared" si="22"/>
        <v>90622.289419892943</v>
      </c>
      <c r="BG34" s="118">
        <f t="shared" si="46"/>
        <v>3361782.4383946327</v>
      </c>
      <c r="BH34" s="118">
        <f t="shared" si="23"/>
        <v>0.85442400650164163</v>
      </c>
      <c r="BI34" s="118">
        <f t="shared" si="24"/>
        <v>5.8976083570413097E-2</v>
      </c>
      <c r="BJ34" s="118">
        <f t="shared" si="25"/>
        <v>99132.381016154482</v>
      </c>
      <c r="BK34" s="118">
        <f>EDisponible!I47</f>
        <v>0.51955407033716461</v>
      </c>
      <c r="BL34" s="118">
        <f t="shared" si="47"/>
        <v>-0.28044592966283544</v>
      </c>
      <c r="BM34" s="118">
        <f>IF(BL34&lt;0, 0, 0.00035*(10*BL34/((1/COS(M$1))-0.8))^(3/(1+1/(DATOS!E$6))))</f>
        <v>0</v>
      </c>
      <c r="BN34" s="118">
        <f t="shared" si="26"/>
        <v>99132.381016154482</v>
      </c>
    </row>
    <row r="35" spans="1:66">
      <c r="A35" s="41">
        <f>EDisponible!A48</f>
        <v>160</v>
      </c>
      <c r="B35" s="44"/>
      <c r="C35" s="118">
        <f t="shared" si="0"/>
        <v>11301940.037839608</v>
      </c>
      <c r="D35" s="118">
        <f t="shared" si="1"/>
        <v>0.25414996101404408</v>
      </c>
      <c r="E35" s="118">
        <f t="shared" si="2"/>
        <v>1.7182337804764785E-2</v>
      </c>
      <c r="F35" s="118">
        <f t="shared" si="3"/>
        <v>97096.875789678117</v>
      </c>
      <c r="G35" s="118">
        <f>EDisponible!B48</f>
        <v>0.46851374744136925</v>
      </c>
      <c r="H35" s="118">
        <f t="shared" si="27"/>
        <v>-0.33148625255863079</v>
      </c>
      <c r="I35" s="118">
        <f>IF(H35&lt;0, 0, 0.00035*(10*H35/((1/COS(M$1))-0.8))^(3/(1+1/(DATOS!E$6))))</f>
        <v>0</v>
      </c>
      <c r="J35" s="118">
        <f t="shared" si="28"/>
        <v>97096.875789678117</v>
      </c>
      <c r="K35" s="118">
        <f t="shared" si="29"/>
        <v>9763337.2665050179</v>
      </c>
      <c r="L35" s="11">
        <f t="shared" si="4"/>
        <v>0.29420141306131781</v>
      </c>
      <c r="M35" s="118">
        <f t="shared" si="5"/>
        <v>1.8561687098157944E-2</v>
      </c>
      <c r="N35" s="118">
        <f t="shared" si="6"/>
        <v>90612.005687325422</v>
      </c>
      <c r="O35" s="118">
        <f>EDisponible!C48</f>
        <v>0.47664718803277484</v>
      </c>
      <c r="P35" s="118">
        <f t="shared" si="30"/>
        <v>-0.32335281196722521</v>
      </c>
      <c r="Q35" s="118">
        <f>IF(P35&lt;0, 0, 0.00035*(10*P35/((1/COS(M$1))-0.8))^(3/(1+1/(DATOS!E$6))))</f>
        <v>0</v>
      </c>
      <c r="R35" s="118">
        <f t="shared" si="31"/>
        <v>90612.005687325422</v>
      </c>
      <c r="S35" s="118">
        <f t="shared" si="32"/>
        <v>8390353.098897025</v>
      </c>
      <c r="T35" s="118">
        <f t="shared" si="7"/>
        <v>0.34234406897340197</v>
      </c>
      <c r="U35" s="118">
        <f t="shared" si="8"/>
        <v>2.048635826552728E-2</v>
      </c>
      <c r="V35" s="118">
        <f t="shared" si="9"/>
        <v>85943.889779140751</v>
      </c>
      <c r="W35" s="118">
        <f>EDisponible!D48</f>
        <v>0.48521948022819972</v>
      </c>
      <c r="X35" s="118">
        <f t="shared" si="33"/>
        <v>-0.31478051977180033</v>
      </c>
      <c r="Y35" s="118">
        <f>IF(X35&lt;0, 0, 0.00035*(10*X35/((1/COS(M$1))-0.8))^(3/(1+1/(DATOS!E$6))))</f>
        <v>0</v>
      </c>
      <c r="Z35" s="118">
        <f t="shared" si="34"/>
        <v>85943.889779140751</v>
      </c>
      <c r="AA35" s="118">
        <f t="shared" si="35"/>
        <v>7170206.409132923</v>
      </c>
      <c r="AB35" s="118">
        <f t="shared" si="10"/>
        <v>0.40060040898423055</v>
      </c>
      <c r="AC35" s="118">
        <f t="shared" si="11"/>
        <v>2.3204653415437787E-2</v>
      </c>
      <c r="AD35" s="118">
        <f t="shared" si="36"/>
        <v>83191.077320540091</v>
      </c>
      <c r="AE35" s="118">
        <f>EDisponible!E48</f>
        <v>0.49427156375006986</v>
      </c>
      <c r="AF35" s="118">
        <f t="shared" si="37"/>
        <v>-0.30572843624993018</v>
      </c>
      <c r="AG35" s="118">
        <f>IF(AF35&lt;0, 0, 0.00035*(10*AF35/((1/COS(M$1))-0.8))^(3/(1+1/(DATOS!E$6))))</f>
        <v>0</v>
      </c>
      <c r="AH35" s="118">
        <f t="shared" si="38"/>
        <v>83191.077320540091</v>
      </c>
      <c r="AI35" s="118">
        <f t="shared" si="39"/>
        <v>6090684.9695887566</v>
      </c>
      <c r="AJ35" s="118">
        <f t="shared" si="12"/>
        <v>0.47160338029992444</v>
      </c>
      <c r="AK35" s="118">
        <f t="shared" si="13"/>
        <v>2.7094133456948159E-2</v>
      </c>
      <c r="AL35" s="118">
        <f t="shared" si="14"/>
        <v>82510.915705133011</v>
      </c>
      <c r="AM35" s="118">
        <f>EDisponible!F48</f>
        <v>0.50384993279849899</v>
      </c>
      <c r="AN35" s="118">
        <f t="shared" si="40"/>
        <v>-0.29615006720150105</v>
      </c>
      <c r="AO35" s="118">
        <f>IF(AN35&lt;0, 0, 0.00035*(10*AN35/((1/COS(M$1))-0.8))^(3/(1+1/(DATOS!E$6))))</f>
        <v>0</v>
      </c>
      <c r="AP35" s="118">
        <f t="shared" si="41"/>
        <v>82510.915705133011</v>
      </c>
      <c r="AQ35" s="118">
        <f t="shared" si="42"/>
        <v>5140140.096908614</v>
      </c>
      <c r="AR35" s="118">
        <f t="shared" si="15"/>
        <v>0.55881504508554414</v>
      </c>
      <c r="AS35" s="118">
        <f t="shared" si="16"/>
        <v>3.273811061631908E-2</v>
      </c>
      <c r="AT35" s="118">
        <f t="shared" si="17"/>
        <v>84139.237537985638</v>
      </c>
      <c r="AU35" s="118">
        <f>EDisponible!G48</f>
        <v>0.51400764410909883</v>
      </c>
      <c r="AV35" s="118">
        <f t="shared" si="43"/>
        <v>-0.28599235589090122</v>
      </c>
      <c r="AW35" s="118">
        <f>IF(AV35&lt;0, 0, 0.00035*(10*AV35/((1/COS(M$1))-0.8))^(3/(1+1/(DATOS!E$6))))</f>
        <v>0</v>
      </c>
      <c r="AX35" s="118">
        <f t="shared" si="18"/>
        <v>84139.237537985638</v>
      </c>
      <c r="AY35" s="118">
        <f t="shared" si="44"/>
        <v>4307481.1458899742</v>
      </c>
      <c r="AZ35" s="118">
        <f t="shared" si="19"/>
        <v>0.66683695707889912</v>
      </c>
      <c r="BA35" s="118">
        <f t="shared" si="20"/>
        <v>4.1053375606773398E-2</v>
      </c>
      <c r="BB35" s="118">
        <f t="shared" si="21"/>
        <v>88418.320700657903</v>
      </c>
      <c r="BC35" s="118">
        <f>EDisponible!H48</f>
        <v>0.52480555802791107</v>
      </c>
      <c r="BD35" s="118">
        <f t="shared" si="45"/>
        <v>-0.27519444197208898</v>
      </c>
      <c r="BE35" s="118">
        <f>IF(BD35&lt;0, 0, 0.00035*(10*BD35/((1/COS(M$1))-0.8))^(3/(1+1/(DATOS!E$6))))</f>
        <v>0</v>
      </c>
      <c r="BF35" s="118">
        <f t="shared" si="22"/>
        <v>88418.320700657903</v>
      </c>
      <c r="BG35" s="118">
        <f t="shared" si="46"/>
        <v>3582169.8407035419</v>
      </c>
      <c r="BH35" s="118">
        <f t="shared" si="23"/>
        <v>0.80185690453913827</v>
      </c>
      <c r="BI35" s="118">
        <f t="shared" si="24"/>
        <v>5.3507874810494731E-2</v>
      </c>
      <c r="BJ35" s="118">
        <f t="shared" si="25"/>
        <v>95837.14769314749</v>
      </c>
      <c r="BK35" s="118">
        <f>EDisponible!I48</f>
        <v>0.53631387905771832</v>
      </c>
      <c r="BL35" s="118">
        <f t="shared" si="47"/>
        <v>-0.26368612094228172</v>
      </c>
      <c r="BM35" s="118">
        <f>IF(BL35&lt;0, 0, 0.00035*(10*BL35/((1/COS(M$1))-0.8))^(3/(1+1/(DATOS!E$6))))</f>
        <v>0</v>
      </c>
      <c r="BN35" s="118">
        <f t="shared" si="26"/>
        <v>95837.14769314749</v>
      </c>
    </row>
    <row r="36" spans="1:66">
      <c r="A36" s="41">
        <f>EDisponible!A49</f>
        <v>165</v>
      </c>
      <c r="B36" s="44"/>
      <c r="C36" s="118">
        <f t="shared" si="0"/>
        <v>12019348.341022786</v>
      </c>
      <c r="D36" s="118">
        <f t="shared" si="1"/>
        <v>0.23898031228501482</v>
      </c>
      <c r="E36" s="118">
        <f t="shared" si="2"/>
        <v>1.6712514837055877E-2</v>
      </c>
      <c r="F36" s="118">
        <f t="shared" si="3"/>
        <v>100436.76874054312</v>
      </c>
      <c r="G36" s="118">
        <f>EDisponible!B49</f>
        <v>0.48315480204891204</v>
      </c>
      <c r="H36" s="118">
        <f t="shared" si="27"/>
        <v>-0.31684519795108801</v>
      </c>
      <c r="I36" s="118">
        <f>IF(H36&lt;0, 0, 0.00035*(10*H36/((1/COS(M$1))-0.8))^(3/(1+1/(DATOS!E$6))))</f>
        <v>0</v>
      </c>
      <c r="J36" s="118">
        <f t="shared" si="28"/>
        <v>100436.76874054312</v>
      </c>
      <c r="K36" s="118">
        <f t="shared" si="29"/>
        <v>10383080.354710903</v>
      </c>
      <c r="L36" s="11">
        <f t="shared" si="4"/>
        <v>0.27664118179503161</v>
      </c>
      <c r="M36" s="118">
        <f t="shared" si="5"/>
        <v>1.7932117630723436E-2</v>
      </c>
      <c r="N36" s="118">
        <f t="shared" si="6"/>
        <v>93095.309144964762</v>
      </c>
      <c r="O36" s="118">
        <f>EDisponible!C49</f>
        <v>0.49154241265879905</v>
      </c>
      <c r="P36" s="118">
        <f t="shared" si="30"/>
        <v>-0.30845758734120099</v>
      </c>
      <c r="Q36" s="118">
        <f>IF(P36&lt;0, 0, 0.00035*(10*P36/((1/COS(M$1))-0.8))^(3/(1+1/(DATOS!E$6))))</f>
        <v>0</v>
      </c>
      <c r="R36" s="118">
        <f t="shared" si="31"/>
        <v>93095.309144964762</v>
      </c>
      <c r="S36" s="118">
        <f t="shared" si="32"/>
        <v>8922943.8717762306</v>
      </c>
      <c r="T36" s="118">
        <f t="shared" si="7"/>
        <v>0.32191030911732199</v>
      </c>
      <c r="U36" s="118">
        <f t="shared" si="8"/>
        <v>1.9633886967800249E-2</v>
      </c>
      <c r="V36" s="118">
        <f t="shared" si="9"/>
        <v>87596.035699240223</v>
      </c>
      <c r="W36" s="118">
        <f>EDisponible!D49</f>
        <v>0.50038258898533094</v>
      </c>
      <c r="X36" s="118">
        <f t="shared" si="33"/>
        <v>-0.2996174110146691</v>
      </c>
      <c r="Y36" s="118">
        <f>IF(X36&lt;0, 0, 0.00035*(10*X36/((1/COS(M$1))-0.8))^(3/(1+1/(DATOS!E$6))))</f>
        <v>0</v>
      </c>
      <c r="Z36" s="118">
        <f t="shared" si="34"/>
        <v>87596.035699240223</v>
      </c>
      <c r="AA36" s="118">
        <f t="shared" si="35"/>
        <v>7625346.4644001499</v>
      </c>
      <c r="AB36" s="118">
        <f t="shared" si="10"/>
        <v>0.37668945711648494</v>
      </c>
      <c r="AC36" s="118">
        <f t="shared" si="11"/>
        <v>2.2037368359151405E-2</v>
      </c>
      <c r="AD36" s="118">
        <f t="shared" si="36"/>
        <v>84021.284451069441</v>
      </c>
      <c r="AE36" s="118">
        <f>EDisponible!E49</f>
        <v>0.5097175501172595</v>
      </c>
      <c r="AF36" s="118">
        <f t="shared" si="37"/>
        <v>-0.29028244988274055</v>
      </c>
      <c r="AG36" s="118">
        <f>IF(AF36&lt;0, 0, 0.00035*(10*AF36/((1/COS(M$1))-0.8))^(3/(1+1/(DATOS!E$6))))</f>
        <v>0</v>
      </c>
      <c r="AH36" s="118">
        <f t="shared" si="38"/>
        <v>84021.284451069441</v>
      </c>
      <c r="AI36" s="118">
        <f t="shared" si="39"/>
        <v>6477300.7147286674</v>
      </c>
      <c r="AJ36" s="118">
        <f t="shared" si="12"/>
        <v>0.44345441820672421</v>
      </c>
      <c r="AK36" s="118">
        <f t="shared" si="13"/>
        <v>2.5476396274170018E-2</v>
      </c>
      <c r="AL36" s="118">
        <f t="shared" si="14"/>
        <v>82509.139897696106</v>
      </c>
      <c r="AM36" s="118">
        <f>EDisponible!F49</f>
        <v>0.51959524319845218</v>
      </c>
      <c r="AN36" s="118">
        <f t="shared" si="40"/>
        <v>-0.28040475680154786</v>
      </c>
      <c r="AO36" s="118">
        <f>IF(AN36&lt;0, 0, 0.00035*(10*AN36/((1/COS(M$1))-0.8))^(3/(1+1/(DATOS!E$6))))</f>
        <v>0</v>
      </c>
      <c r="AP36" s="118">
        <f t="shared" si="41"/>
        <v>82509.139897696106</v>
      </c>
      <c r="AQ36" s="118">
        <f t="shared" si="42"/>
        <v>5466418.5210287897</v>
      </c>
      <c r="AR36" s="118">
        <f t="shared" si="15"/>
        <v>0.52546061172414793</v>
      </c>
      <c r="AS36" s="118">
        <f t="shared" si="16"/>
        <v>3.0466727834083794E-2</v>
      </c>
      <c r="AT36" s="118">
        <f t="shared" si="17"/>
        <v>83271.942653689504</v>
      </c>
      <c r="AU36" s="118">
        <f>EDisponible!G49</f>
        <v>0.53007038298750819</v>
      </c>
      <c r="AV36" s="118">
        <f t="shared" si="43"/>
        <v>-0.26992961701249185</v>
      </c>
      <c r="AW36" s="118">
        <f>IF(AV36&lt;0, 0, 0.00035*(10*AV36/((1/COS(M$1))-0.8))^(3/(1+1/(DATOS!E$6))))</f>
        <v>0</v>
      </c>
      <c r="AX36" s="118">
        <f t="shared" si="18"/>
        <v>83271.942653689504</v>
      </c>
      <c r="AY36" s="118">
        <f t="shared" si="44"/>
        <v>4580905.2420646306</v>
      </c>
      <c r="AZ36" s="118">
        <f t="shared" si="19"/>
        <v>0.62703493484737627</v>
      </c>
      <c r="BA36" s="118">
        <f t="shared" si="20"/>
        <v>3.7818977522410965E-2</v>
      </c>
      <c r="BB36" s="118">
        <f t="shared" si="21"/>
        <v>86622.576190968408</v>
      </c>
      <c r="BC36" s="118">
        <f>EDisponible!H49</f>
        <v>0.54120573171628328</v>
      </c>
      <c r="BD36" s="118">
        <f t="shared" si="45"/>
        <v>-0.25879426828371677</v>
      </c>
      <c r="BE36" s="118">
        <f>IF(BD36&lt;0, 0, 0.00035*(10*BD36/((1/COS(M$1))-0.8))^(3/(1+1/(DATOS!E$6))))</f>
        <v>0</v>
      </c>
      <c r="BF36" s="118">
        <f t="shared" si="22"/>
        <v>86622.576190968408</v>
      </c>
      <c r="BG36" s="118">
        <f t="shared" si="46"/>
        <v>3809553.6684825751</v>
      </c>
      <c r="BH36" s="118">
        <f t="shared" si="23"/>
        <v>0.75399584044818879</v>
      </c>
      <c r="BI36" s="118">
        <f t="shared" si="24"/>
        <v>4.8831084532103254E-2</v>
      </c>
      <c r="BJ36" s="118">
        <f t="shared" si="25"/>
        <v>93012.318607628345</v>
      </c>
      <c r="BK36" s="118">
        <f>EDisponible!I49</f>
        <v>0.55307368777827193</v>
      </c>
      <c r="BL36" s="118">
        <f t="shared" si="47"/>
        <v>-0.24692631222172812</v>
      </c>
      <c r="BM36" s="118">
        <f>IF(BL36&lt;0, 0, 0.00035*(10*BL36/((1/COS(M$1))-0.8))^(3/(1+1/(DATOS!E$6))))</f>
        <v>0</v>
      </c>
      <c r="BN36" s="118">
        <f t="shared" si="26"/>
        <v>93012.318607628345</v>
      </c>
    </row>
    <row r="37" spans="1:66">
      <c r="A37" s="41">
        <f>EDisponible!A50</f>
        <v>170</v>
      </c>
      <c r="B37" s="44"/>
      <c r="C37" s="118">
        <f t="shared" si="0"/>
        <v>12758830.745842371</v>
      </c>
      <c r="D37" s="118">
        <f t="shared" si="1"/>
        <v>0.22512937723043347</v>
      </c>
      <c r="E37" s="118">
        <f t="shared" si="2"/>
        <v>1.6308779480983637E-2</v>
      </c>
      <c r="F37" s="118">
        <f t="shared" si="3"/>
        <v>104040.47853456861</v>
      </c>
      <c r="G37" s="118">
        <f>EDisponible!B50</f>
        <v>0.49779585665645482</v>
      </c>
      <c r="H37" s="118">
        <f t="shared" si="27"/>
        <v>-0.30220414334354523</v>
      </c>
      <c r="I37" s="118">
        <f>IF(H37&lt;0, 0, 0.00035*(10*H37/((1/COS(M$1))-0.8))^(3/(1+1/(DATOS!E$6))))</f>
        <v>0</v>
      </c>
      <c r="J37" s="118">
        <f t="shared" si="28"/>
        <v>104040.47853456861</v>
      </c>
      <c r="K37" s="118">
        <f t="shared" si="29"/>
        <v>11021892.461015429</v>
      </c>
      <c r="L37" s="11">
        <f t="shared" si="4"/>
        <v>0.2606074800819978</v>
      </c>
      <c r="M37" s="118">
        <f t="shared" si="5"/>
        <v>1.7391106504029506E-2</v>
      </c>
      <c r="N37" s="118">
        <f t="shared" si="6"/>
        <v>95841.452832739596</v>
      </c>
      <c r="O37" s="118">
        <f>EDisponible!C50</f>
        <v>0.50643763728482327</v>
      </c>
      <c r="P37" s="118">
        <f t="shared" si="30"/>
        <v>-0.29356236271517677</v>
      </c>
      <c r="Q37" s="118">
        <f>IF(P37&lt;0, 0, 0.00035*(10*P37/((1/COS(M$1))-0.8))^(3/(1+1/(DATOS!E$6))))</f>
        <v>0</v>
      </c>
      <c r="R37" s="118">
        <f t="shared" si="31"/>
        <v>95841.452832739596</v>
      </c>
      <c r="S37" s="118">
        <f t="shared" si="32"/>
        <v>9471922.0530517194</v>
      </c>
      <c r="T37" s="118">
        <f t="shared" si="7"/>
        <v>0.30325287770654291</v>
      </c>
      <c r="U37" s="118">
        <f t="shared" si="8"/>
        <v>1.890132847963704E-2</v>
      </c>
      <c r="V37" s="118">
        <f t="shared" si="9"/>
        <v>89515.955029124307</v>
      </c>
      <c r="W37" s="118">
        <f>EDisponible!D50</f>
        <v>0.51554569774246217</v>
      </c>
      <c r="X37" s="118">
        <f t="shared" si="33"/>
        <v>-0.28445430225753787</v>
      </c>
      <c r="Y37" s="118">
        <f>IF(X37&lt;0, 0, 0.00035*(10*X37/((1/COS(M$1))-0.8))^(3/(1+1/(DATOS!E$6))))</f>
        <v>0</v>
      </c>
      <c r="Z37" s="118">
        <f t="shared" si="34"/>
        <v>89515.955029124307</v>
      </c>
      <c r="AA37" s="118">
        <f t="shared" si="35"/>
        <v>8094490.8290602146</v>
      </c>
      <c r="AB37" s="118">
        <f t="shared" si="10"/>
        <v>0.35485710968845335</v>
      </c>
      <c r="AC37" s="118">
        <f t="shared" si="11"/>
        <v>2.1034279365576322E-2</v>
      </c>
      <c r="AD37" s="118">
        <f t="shared" si="36"/>
        <v>85130.89071027402</v>
      </c>
      <c r="AE37" s="118">
        <f>EDisponible!E50</f>
        <v>0.52516353648444924</v>
      </c>
      <c r="AF37" s="118">
        <f t="shared" si="37"/>
        <v>-0.2748364635155508</v>
      </c>
      <c r="AG37" s="118">
        <f>IF(AF37&lt;0, 0, 0.00035*(10*AF37/((1/COS(M$1))-0.8))^(3/(1+1/(DATOS!E$6))))</f>
        <v>0</v>
      </c>
      <c r="AH37" s="118">
        <f t="shared" si="38"/>
        <v>85130.89071027402</v>
      </c>
      <c r="AI37" s="118">
        <f t="shared" si="39"/>
        <v>6875812.3289498072</v>
      </c>
      <c r="AJ37" s="118">
        <f t="shared" si="12"/>
        <v>0.41775247528297804</v>
      </c>
      <c r="AK37" s="118">
        <f t="shared" si="13"/>
        <v>2.4086217967849093E-2</v>
      </c>
      <c r="AL37" s="118">
        <f t="shared" si="14"/>
        <v>82806.157230554585</v>
      </c>
      <c r="AM37" s="118">
        <f>EDisponible!F50</f>
        <v>0.53534055359840527</v>
      </c>
      <c r="AN37" s="118">
        <f t="shared" si="40"/>
        <v>-0.26465944640159478</v>
      </c>
      <c r="AO37" s="118">
        <f>IF(AN37&lt;0, 0, 0.00035*(10*AN37/((1/COS(M$1))-0.8))^(3/(1+1/(DATOS!E$6))))</f>
        <v>0</v>
      </c>
      <c r="AP37" s="118">
        <f t="shared" si="41"/>
        <v>82806.157230554585</v>
      </c>
      <c r="AQ37" s="118">
        <f t="shared" si="42"/>
        <v>5802736.2812757399</v>
      </c>
      <c r="AR37" s="118">
        <f t="shared" si="15"/>
        <v>0.4950057146778522</v>
      </c>
      <c r="AS37" s="118">
        <f t="shared" si="16"/>
        <v>2.851484893630651E-2</v>
      </c>
      <c r="AT37" s="118">
        <f t="shared" si="17"/>
        <v>82732.074238901361</v>
      </c>
      <c r="AU37" s="118">
        <f>EDisponible!G50</f>
        <v>0.54613312186591756</v>
      </c>
      <c r="AV37" s="118">
        <f t="shared" si="43"/>
        <v>-0.25386687813408249</v>
      </c>
      <c r="AW37" s="118">
        <f>IF(AV37&lt;0, 0, 0.00035*(10*AV37/((1/COS(M$1))-0.8))^(3/(1+1/(DATOS!E$6))))</f>
        <v>0</v>
      </c>
      <c r="AX37" s="118">
        <f t="shared" si="18"/>
        <v>82732.074238901361</v>
      </c>
      <c r="AY37" s="118">
        <f t="shared" si="44"/>
        <v>4862742.387352353</v>
      </c>
      <c r="AZ37" s="118">
        <f t="shared" si="19"/>
        <v>0.59069294467888656</v>
      </c>
      <c r="BA37" s="118">
        <f t="shared" si="20"/>
        <v>3.5039545795951574E-2</v>
      </c>
      <c r="BB37" s="118">
        <f t="shared" si="21"/>
        <v>85194.142287773822</v>
      </c>
      <c r="BC37" s="118">
        <f>EDisponible!H50</f>
        <v>0.55760590540465549</v>
      </c>
      <c r="BD37" s="118">
        <f t="shared" si="45"/>
        <v>-0.24239409459534456</v>
      </c>
      <c r="BE37" s="118">
        <f>IF(BD37&lt;0, 0, 0.00035*(10*BD37/((1/COS(M$1))-0.8))^(3/(1+1/(DATOS!E$6))))</f>
        <v>0</v>
      </c>
      <c r="BF37" s="118">
        <f t="shared" si="22"/>
        <v>85194.142287773822</v>
      </c>
      <c r="BG37" s="118">
        <f t="shared" si="46"/>
        <v>4043933.9217317333</v>
      </c>
      <c r="BH37" s="118">
        <f t="shared" si="23"/>
        <v>0.71029538948795634</v>
      </c>
      <c r="BI37" s="118">
        <f t="shared" si="24"/>
        <v>4.4812154598708728E-2</v>
      </c>
      <c r="BJ37" s="118">
        <f t="shared" si="25"/>
        <v>90608.696043802454</v>
      </c>
      <c r="BK37" s="118">
        <f>EDisponible!I50</f>
        <v>0.56983349649882564</v>
      </c>
      <c r="BL37" s="118">
        <f t="shared" si="47"/>
        <v>-0.2301665035011744</v>
      </c>
      <c r="BM37" s="118">
        <f>IF(BL37&lt;0, 0, 0.00035*(10*BL37/((1/COS(M$1))-0.8))^(3/(1+1/(DATOS!E$6))))</f>
        <v>0</v>
      </c>
      <c r="BN37" s="118">
        <f t="shared" si="26"/>
        <v>90608.696043802454</v>
      </c>
    </row>
    <row r="38" spans="1:66">
      <c r="A38" s="41">
        <f>EDisponible!A51</f>
        <v>175</v>
      </c>
      <c r="B38" s="44"/>
      <c r="C38" s="118">
        <f t="shared" si="0"/>
        <v>13520387.252298359</v>
      </c>
      <c r="D38" s="118">
        <f t="shared" si="1"/>
        <v>0.21244862047214785</v>
      </c>
      <c r="E38" s="118">
        <f t="shared" si="2"/>
        <v>1.5960283556558059E-2</v>
      </c>
      <c r="F38" s="118">
        <f t="shared" si="3"/>
        <v>107894.60717057735</v>
      </c>
      <c r="G38" s="118">
        <f>EDisponible!B51</f>
        <v>0.5124369112639976</v>
      </c>
      <c r="H38" s="118">
        <f t="shared" si="27"/>
        <v>-0.28756308873600245</v>
      </c>
      <c r="I38" s="118">
        <f>IF(H38&lt;0, 0, 0.00035*(10*H38/((1/COS(M$1))-0.8))^(3/(1+1/(DATOS!E$6))))</f>
        <v>0</v>
      </c>
      <c r="J38" s="118">
        <f t="shared" si="28"/>
        <v>107894.60717057735</v>
      </c>
      <c r="K38" s="118">
        <f t="shared" si="29"/>
        <v>11679773.585418601</v>
      </c>
      <c r="L38" s="11">
        <f t="shared" si="4"/>
        <v>0.24592836487737912</v>
      </c>
      <c r="M38" s="118">
        <f t="shared" si="5"/>
        <v>1.692411700240164E-2</v>
      </c>
      <c r="N38" s="118">
        <f t="shared" si="6"/>
        <v>98834.92736059225</v>
      </c>
      <c r="O38" s="118">
        <f>EDisponible!C51</f>
        <v>0.52133286191084749</v>
      </c>
      <c r="P38" s="118">
        <f t="shared" si="30"/>
        <v>-0.27866713808915256</v>
      </c>
      <c r="Q38" s="118">
        <f>IF(P38&lt;0, 0, 0.00035*(10*P38/((1/COS(M$1))-0.8))^(3/(1+1/(DATOS!E$6))))</f>
        <v>0</v>
      </c>
      <c r="R38" s="118">
        <f t="shared" si="31"/>
        <v>98834.92736059225</v>
      </c>
      <c r="S38" s="118">
        <f t="shared" si="32"/>
        <v>10037287.642723491</v>
      </c>
      <c r="T38" s="118">
        <f t="shared" si="7"/>
        <v>0.28617169520715396</v>
      </c>
      <c r="U38" s="118">
        <f t="shared" si="8"/>
        <v>1.8268999297442357E-2</v>
      </c>
      <c r="V38" s="118">
        <f t="shared" si="9"/>
        <v>91685.600446571159</v>
      </c>
      <c r="W38" s="118">
        <f>EDisponible!D51</f>
        <v>0.5307088064995934</v>
      </c>
      <c r="X38" s="118">
        <f t="shared" si="33"/>
        <v>-0.26929119350040664</v>
      </c>
      <c r="Y38" s="118">
        <f>IF(X38&lt;0, 0, 0.00035*(10*X38/((1/COS(M$1))-0.8))^(3/(1+1/(DATOS!E$6))))</f>
        <v>0</v>
      </c>
      <c r="Z38" s="118">
        <f t="shared" si="34"/>
        <v>91685.600446571159</v>
      </c>
      <c r="AA38" s="118">
        <f t="shared" si="35"/>
        <v>8577639.5031131152</v>
      </c>
      <c r="AB38" s="118">
        <f t="shared" si="10"/>
        <v>0.33486923983661399</v>
      </c>
      <c r="AC38" s="118">
        <f t="shared" si="11"/>
        <v>2.016843390309837E-2</v>
      </c>
      <c r="AD38" s="118">
        <f t="shared" si="36"/>
        <v>86498.777681571199</v>
      </c>
      <c r="AE38" s="118">
        <f>EDisponible!E51</f>
        <v>0.54060952285163888</v>
      </c>
      <c r="AF38" s="118">
        <f t="shared" si="37"/>
        <v>-0.25939047714836116</v>
      </c>
      <c r="AG38" s="118">
        <f>IF(AF38&lt;0, 0, 0.00035*(10*AF38/((1/COS(M$1))-0.8))^(3/(1+1/(DATOS!E$6))))</f>
        <v>0</v>
      </c>
      <c r="AH38" s="118">
        <f t="shared" si="38"/>
        <v>86498.777681571199</v>
      </c>
      <c r="AI38" s="118">
        <f t="shared" si="39"/>
        <v>7286219.8122521751</v>
      </c>
      <c r="AJ38" s="118">
        <f t="shared" si="12"/>
        <v>0.39422192769561026</v>
      </c>
      <c r="AK38" s="118">
        <f t="shared" si="13"/>
        <v>2.2886245097771776E-2</v>
      </c>
      <c r="AL38" s="118">
        <f t="shared" si="14"/>
        <v>83377.106229721961</v>
      </c>
      <c r="AM38" s="118">
        <f>EDisponible!F51</f>
        <v>0.55108586399835835</v>
      </c>
      <c r="AN38" s="118">
        <f t="shared" si="40"/>
        <v>-0.24891413600164169</v>
      </c>
      <c r="AO38" s="118">
        <f>IF(AN38&lt;0, 0, 0.00035*(10*AN38/((1/COS(M$1))-0.8))^(3/(1+1/(DATOS!E$6))))</f>
        <v>0</v>
      </c>
      <c r="AP38" s="118">
        <f t="shared" si="41"/>
        <v>83377.106229721961</v>
      </c>
      <c r="AQ38" s="118">
        <f t="shared" si="42"/>
        <v>6149093.3776494656</v>
      </c>
      <c r="AR38" s="118">
        <f t="shared" si="15"/>
        <v>0.46712376013681395</v>
      </c>
      <c r="AS38" s="118">
        <f t="shared" si="16"/>
        <v>2.683002785086766E-2</v>
      </c>
      <c r="AT38" s="118">
        <f t="shared" si="17"/>
        <v>82490.173289960527</v>
      </c>
      <c r="AU38" s="118">
        <f>EDisponible!G51</f>
        <v>0.56219586074432693</v>
      </c>
      <c r="AV38" s="118">
        <f t="shared" si="43"/>
        <v>-0.23780413925567312</v>
      </c>
      <c r="AW38" s="118">
        <f>IF(AV38&lt;0, 0, 0.00035*(10*AV38/((1/COS(M$1))-0.8))^(3/(1+1/(DATOS!E$6))))</f>
        <v>0</v>
      </c>
      <c r="AX38" s="118">
        <f t="shared" si="18"/>
        <v>82490.173289960527</v>
      </c>
      <c r="AY38" s="118">
        <f t="shared" si="44"/>
        <v>5152992.5817531431</v>
      </c>
      <c r="AZ38" s="118">
        <f t="shared" si="19"/>
        <v>0.55742126044799412</v>
      </c>
      <c r="BA38" s="118">
        <f t="shared" si="20"/>
        <v>3.2640398398226689E-2</v>
      </c>
      <c r="BB38" s="118">
        <f t="shared" si="21"/>
        <v>84097.865405764649</v>
      </c>
      <c r="BC38" s="118">
        <f>EDisponible!H51</f>
        <v>0.57400607909302781</v>
      </c>
      <c r="BD38" s="118">
        <f t="shared" si="45"/>
        <v>-0.22599392090697223</v>
      </c>
      <c r="BE38" s="118">
        <f>IF(BD38&lt;0, 0, 0.00035*(10*BD38/((1/COS(M$1))-0.8))^(3/(1+1/(DATOS!E$6))))</f>
        <v>0</v>
      </c>
      <c r="BF38" s="118">
        <f t="shared" si="22"/>
        <v>84097.865405764649</v>
      </c>
      <c r="BG38" s="118">
        <f t="shared" si="46"/>
        <v>4285310.6004510149</v>
      </c>
      <c r="BH38" s="118">
        <f t="shared" si="23"/>
        <v>0.67028691448822653</v>
      </c>
      <c r="BI38" s="118">
        <f t="shared" si="24"/>
        <v>4.1343098244651537E-2</v>
      </c>
      <c r="BJ38" s="118">
        <f t="shared" si="25"/>
        <v>88584.008581646485</v>
      </c>
      <c r="BK38" s="118">
        <f>EDisponible!I51</f>
        <v>0.58659330521937936</v>
      </c>
      <c r="BL38" s="118">
        <f t="shared" si="47"/>
        <v>-0.21340669478062069</v>
      </c>
      <c r="BM38" s="118">
        <f>IF(BL38&lt;0, 0, 0.00035*(10*BL38/((1/COS(M$1))-0.8))^(3/(1+1/(DATOS!E$6))))</f>
        <v>0</v>
      </c>
      <c r="BN38" s="118">
        <f t="shared" si="26"/>
        <v>88584.008581646485</v>
      </c>
    </row>
    <row r="39" spans="1:66">
      <c r="A39" s="41">
        <f>EDisponible!A52</f>
        <v>180</v>
      </c>
      <c r="B39" s="44"/>
      <c r="C39" s="118">
        <f t="shared" si="0"/>
        <v>14304017.860390754</v>
      </c>
      <c r="D39" s="118">
        <f t="shared" si="1"/>
        <v>0.20080984573949159</v>
      </c>
      <c r="E39" s="118">
        <f t="shared" si="2"/>
        <v>1.5658200701785186E-2</v>
      </c>
      <c r="F39" s="118">
        <f t="shared" si="3"/>
        <v>111987.59124995918</v>
      </c>
      <c r="G39" s="118">
        <f>EDisponible!B52</f>
        <v>0.52707796587154043</v>
      </c>
      <c r="H39" s="118">
        <f t="shared" si="27"/>
        <v>-0.27292203412845961</v>
      </c>
      <c r="I39" s="118">
        <f>IF(H39&lt;0, 0, 0.00035*(10*H39/((1/COS(M$1))-0.8))^(3/(1+1/(DATOS!E$6))))</f>
        <v>0</v>
      </c>
      <c r="J39" s="118">
        <f t="shared" si="28"/>
        <v>111987.59124995918</v>
      </c>
      <c r="K39" s="118">
        <f t="shared" si="29"/>
        <v>12356723.727920411</v>
      </c>
      <c r="L39" s="11">
        <f t="shared" si="4"/>
        <v>0.23245543748054742</v>
      </c>
      <c r="M39" s="118">
        <f t="shared" si="5"/>
        <v>1.651932167507255E-2</v>
      </c>
      <c r="N39" s="118">
        <f t="shared" si="6"/>
        <v>102062.34705575947</v>
      </c>
      <c r="O39" s="118">
        <f>EDisponible!C52</f>
        <v>0.53622808653687171</v>
      </c>
      <c r="P39" s="118">
        <f t="shared" si="30"/>
        <v>-0.26377191346312834</v>
      </c>
      <c r="Q39" s="118">
        <f>IF(P39&lt;0, 0, 0.00035*(10*P39/((1/COS(M$1))-0.8))^(3/(1+1/(DATOS!E$6))))</f>
        <v>0</v>
      </c>
      <c r="R39" s="118">
        <f t="shared" si="31"/>
        <v>102062.34705575947</v>
      </c>
      <c r="S39" s="118">
        <f t="shared" si="32"/>
        <v>10619040.640791547</v>
      </c>
      <c r="T39" s="118">
        <f t="shared" si="7"/>
        <v>0.27049407918886081</v>
      </c>
      <c r="U39" s="118">
        <f t="shared" si="8"/>
        <v>1.7720884409647281E-2</v>
      </c>
      <c r="V39" s="118">
        <f t="shared" si="9"/>
        <v>94089.395868406893</v>
      </c>
      <c r="W39" s="118">
        <f>EDisponible!D52</f>
        <v>0.54587191525672474</v>
      </c>
      <c r="X39" s="118">
        <f t="shared" si="33"/>
        <v>-0.25412808474327531</v>
      </c>
      <c r="Y39" s="118">
        <f>IF(X39&lt;0, 0, 0.00035*(10*X39/((1/COS(M$1))-0.8))^(3/(1+1/(DATOS!E$6))))</f>
        <v>0</v>
      </c>
      <c r="Z39" s="118">
        <f t="shared" si="34"/>
        <v>94089.395868406893</v>
      </c>
      <c r="AA39" s="118">
        <f t="shared" si="35"/>
        <v>9074792.4865588564</v>
      </c>
      <c r="AB39" s="118">
        <f t="shared" si="10"/>
        <v>0.31652377993815745</v>
      </c>
      <c r="AC39" s="118">
        <f t="shared" si="11"/>
        <v>1.9417902689487763E-2</v>
      </c>
      <c r="AD39" s="118">
        <f t="shared" si="36"/>
        <v>88106.718715647279</v>
      </c>
      <c r="AE39" s="118">
        <f>EDisponible!E52</f>
        <v>0.55605550921882863</v>
      </c>
      <c r="AF39" s="118">
        <f t="shared" si="37"/>
        <v>-0.24394449078117142</v>
      </c>
      <c r="AG39" s="118">
        <f>IF(AF39&lt;0, 0, 0.00035*(10*AF39/((1/COS(M$1))-0.8))^(3/(1+1/(DATOS!E$6))))</f>
        <v>0</v>
      </c>
      <c r="AH39" s="118">
        <f t="shared" si="38"/>
        <v>88106.718715647279</v>
      </c>
      <c r="AI39" s="118">
        <f t="shared" si="39"/>
        <v>7708523.16463577</v>
      </c>
      <c r="AJ39" s="118">
        <f t="shared" si="12"/>
        <v>0.3726248930764835</v>
      </c>
      <c r="AK39" s="118">
        <f t="shared" si="13"/>
        <v>2.1846085931375662E-2</v>
      </c>
      <c r="AL39" s="118">
        <f t="shared" si="14"/>
        <v>84200.529729316448</v>
      </c>
      <c r="AM39" s="118">
        <f>EDisponible!F52</f>
        <v>0.56683117439831143</v>
      </c>
      <c r="AN39" s="118">
        <f t="shared" si="40"/>
        <v>-0.23316882560168861</v>
      </c>
      <c r="AO39" s="118">
        <f>IF(AN39&lt;0, 0, 0.00035*(10*AN39/((1/COS(M$1))-0.8))^(3/(1+1/(DATOS!E$6))))</f>
        <v>0</v>
      </c>
      <c r="AP39" s="118">
        <f t="shared" si="41"/>
        <v>84200.529729316448</v>
      </c>
      <c r="AQ39" s="118">
        <f t="shared" si="42"/>
        <v>6505489.8101499649</v>
      </c>
      <c r="AR39" s="118">
        <f t="shared" si="15"/>
        <v>0.44153287512931877</v>
      </c>
      <c r="AS39" s="118">
        <f t="shared" si="16"/>
        <v>2.5369593086501899E-2</v>
      </c>
      <c r="AT39" s="118">
        <f t="shared" si="17"/>
        <v>82520.814655944545</v>
      </c>
      <c r="AU39" s="118">
        <f>EDisponible!G52</f>
        <v>0.57825859962273618</v>
      </c>
      <c r="AV39" s="118">
        <f t="shared" si="43"/>
        <v>-0.22174140037726386</v>
      </c>
      <c r="AW39" s="118">
        <f>IF(AV39&lt;0, 0, 0.00035*(10*AV39/((1/COS(M$1))-0.8))^(3/(1+1/(DATOS!E$6))))</f>
        <v>0</v>
      </c>
      <c r="AX39" s="118">
        <f t="shared" si="18"/>
        <v>82520.814655944545</v>
      </c>
      <c r="AY39" s="118">
        <f t="shared" si="44"/>
        <v>5451655.8252669983</v>
      </c>
      <c r="AZ39" s="118">
        <f t="shared" si="19"/>
        <v>0.526883521642587</v>
      </c>
      <c r="BA39" s="118">
        <f t="shared" si="20"/>
        <v>3.0560772083743318E-2</v>
      </c>
      <c r="BB39" s="118">
        <f t="shared" si="21"/>
        <v>83303.405577498153</v>
      </c>
      <c r="BC39" s="118">
        <f>EDisponible!H52</f>
        <v>0.59040625278140002</v>
      </c>
      <c r="BD39" s="118">
        <f t="shared" si="45"/>
        <v>-0.20959374721860002</v>
      </c>
      <c r="BE39" s="118">
        <f>IF(BD39&lt;0, 0, 0.00035*(10*BD39/((1/COS(M$1))-0.8))^(3/(1+1/(DATOS!E$6))))</f>
        <v>0</v>
      </c>
      <c r="BF39" s="118">
        <f t="shared" si="22"/>
        <v>83303.405577498153</v>
      </c>
      <c r="BG39" s="118">
        <f t="shared" si="46"/>
        <v>4533683.7046404202</v>
      </c>
      <c r="BH39" s="118">
        <f t="shared" si="23"/>
        <v>0.63356594926549192</v>
      </c>
      <c r="BI39" s="118">
        <f t="shared" si="24"/>
        <v>3.8336054622752996E-2</v>
      </c>
      <c r="BJ39" s="118">
        <f t="shared" si="25"/>
        <v>86901.773071690157</v>
      </c>
      <c r="BK39" s="118">
        <f>EDisponible!I52</f>
        <v>0.60335311393993307</v>
      </c>
      <c r="BL39" s="118">
        <f t="shared" si="47"/>
        <v>-0.19664688606006697</v>
      </c>
      <c r="BM39" s="118">
        <f>IF(BL39&lt;0, 0, 0.00035*(10*BL39/((1/COS(M$1))-0.8))^(3/(1+1/(DATOS!E$6))))</f>
        <v>0</v>
      </c>
      <c r="BN39" s="118">
        <f t="shared" si="26"/>
        <v>86901.773071690157</v>
      </c>
    </row>
    <row r="40" spans="1:66">
      <c r="A40" s="41">
        <f>EDisponible!A53</f>
        <v>185</v>
      </c>
      <c r="B40" s="44"/>
      <c r="C40" s="118">
        <f t="shared" si="0"/>
        <v>15109722.570119556</v>
      </c>
      <c r="D40" s="118">
        <f t="shared" si="1"/>
        <v>0.19010194308135944</v>
      </c>
      <c r="E40" s="118">
        <f t="shared" si="2"/>
        <v>1.5395306966495716E-2</v>
      </c>
      <c r="F40" s="118">
        <f t="shared" si="3"/>
        <v>116309.40857278957</v>
      </c>
      <c r="G40" s="118">
        <f>EDisponible!B53</f>
        <v>0.54171902047908316</v>
      </c>
      <c r="H40" s="118">
        <f t="shared" si="27"/>
        <v>-0.25828097952091689</v>
      </c>
      <c r="I40" s="118">
        <f>IF(H40&lt;0, 0, 0.00035*(10*H40/((1/COS(M$1))-0.8))^(3/(1+1/(DATOS!E$6))))</f>
        <v>0</v>
      </c>
      <c r="J40" s="118">
        <f t="shared" si="28"/>
        <v>116309.40857278957</v>
      </c>
      <c r="K40" s="118">
        <f t="shared" si="29"/>
        <v>13052742.888520868</v>
      </c>
      <c r="L40" s="11">
        <f t="shared" si="4"/>
        <v>0.22006007814082501</v>
      </c>
      <c r="M40" s="118">
        <f t="shared" si="5"/>
        <v>1.6167040325939769E-2</v>
      </c>
      <c r="N40" s="118">
        <f t="shared" si="6"/>
        <v>105512.11032142022</v>
      </c>
      <c r="O40" s="118">
        <f>EDisponible!C53</f>
        <v>0.55112331116289592</v>
      </c>
      <c r="P40" s="118">
        <f t="shared" si="30"/>
        <v>-0.24887668883710412</v>
      </c>
      <c r="Q40" s="118">
        <f>IF(P40&lt;0, 0, 0.00035*(10*P40/((1/COS(M$1))-0.8))^(3/(1+1/(DATOS!E$6))))</f>
        <v>0</v>
      </c>
      <c r="R40" s="118">
        <f t="shared" si="31"/>
        <v>105512.11032142022</v>
      </c>
      <c r="S40" s="118">
        <f t="shared" si="32"/>
        <v>11217181.047255885</v>
      </c>
      <c r="T40" s="118">
        <f t="shared" si="7"/>
        <v>0.25607036276754103</v>
      </c>
      <c r="U40" s="118">
        <f t="shared" si="8"/>
        <v>1.7243876304276463E-2</v>
      </c>
      <c r="V40" s="118">
        <f t="shared" si="9"/>
        <v>96713.841230777398</v>
      </c>
      <c r="W40" s="118">
        <f>EDisponible!D53</f>
        <v>0.56103502401385597</v>
      </c>
      <c r="X40" s="118">
        <f t="shared" si="33"/>
        <v>-0.23896497598614408</v>
      </c>
      <c r="Y40" s="118">
        <f>IF(X40&lt;0, 0, 0.00035*(10*X40/((1/COS(M$1))-0.8))^(3/(1+1/(DATOS!E$6))))</f>
        <v>0</v>
      </c>
      <c r="Z40" s="118">
        <f t="shared" si="34"/>
        <v>96713.841230777398</v>
      </c>
      <c r="AA40" s="118">
        <f t="shared" si="35"/>
        <v>9585949.7793974336</v>
      </c>
      <c r="AB40" s="118">
        <f t="shared" si="10"/>
        <v>0.2996455944483945</v>
      </c>
      <c r="AC40" s="118">
        <f t="shared" si="11"/>
        <v>1.8764737668434908E-2</v>
      </c>
      <c r="AD40" s="118">
        <f t="shared" si="36"/>
        <v>89938.916456592167</v>
      </c>
      <c r="AE40" s="118">
        <f>EDisponible!E53</f>
        <v>0.57150149558601826</v>
      </c>
      <c r="AF40" s="118">
        <f t="shared" si="37"/>
        <v>-0.22849850441398178</v>
      </c>
      <c r="AG40" s="118">
        <f>IF(AF40&lt;0, 0, 0.00035*(10*AF40/((1/COS(M$1))-0.8))^(3/(1+1/(DATOS!E$6))))</f>
        <v>0</v>
      </c>
      <c r="AH40" s="118">
        <f t="shared" si="38"/>
        <v>89938.916456592167</v>
      </c>
      <c r="AI40" s="118">
        <f t="shared" si="39"/>
        <v>8142722.386100593</v>
      </c>
      <c r="AJ40" s="118">
        <f t="shared" si="12"/>
        <v>0.35275519461440663</v>
      </c>
      <c r="AK40" s="118">
        <f t="shared" si="13"/>
        <v>2.0940866306266334E-2</v>
      </c>
      <c r="AL40" s="118">
        <f t="shared" si="14"/>
        <v>85257.830428187255</v>
      </c>
      <c r="AM40" s="118">
        <f>EDisponible!F53</f>
        <v>0.58257648479826452</v>
      </c>
      <c r="AN40" s="118">
        <f t="shared" si="40"/>
        <v>-0.21742351520173553</v>
      </c>
      <c r="AO40" s="118">
        <f>IF(AN40&lt;0, 0, 0.00035*(10*AN40/((1/COS(M$1))-0.8))^(3/(1+1/(DATOS!E$6))))</f>
        <v>0</v>
      </c>
      <c r="AP40" s="118">
        <f t="shared" si="41"/>
        <v>85257.830428187255</v>
      </c>
      <c r="AQ40" s="118">
        <f t="shared" si="42"/>
        <v>6871925.5787772387</v>
      </c>
      <c r="AR40" s="118">
        <f t="shared" si="15"/>
        <v>0.41798875541825942</v>
      </c>
      <c r="AS40" s="118">
        <f t="shared" si="16"/>
        <v>2.4098620092554979E-2</v>
      </c>
      <c r="AT40" s="118">
        <f t="shared" si="17"/>
        <v>82801.961913631836</v>
      </c>
      <c r="AU40" s="118">
        <f>EDisponible!G53</f>
        <v>0.59432133850114555</v>
      </c>
      <c r="AV40" s="118">
        <f t="shared" si="43"/>
        <v>-0.2056786614988545</v>
      </c>
      <c r="AW40" s="118">
        <f>IF(AV40&lt;0, 0, 0.00035*(10*AV40/((1/COS(M$1))-0.8))^(3/(1+1/(DATOS!E$6))))</f>
        <v>0</v>
      </c>
      <c r="AX40" s="118">
        <f t="shared" si="18"/>
        <v>82801.961913631836</v>
      </c>
      <c r="AY40" s="118">
        <f t="shared" si="44"/>
        <v>5758732.1178939203</v>
      </c>
      <c r="AZ40" s="118">
        <f t="shared" si="19"/>
        <v>0.49878819872081281</v>
      </c>
      <c r="BA40" s="118">
        <f t="shared" si="20"/>
        <v>2.8750935076502802E-2</v>
      </c>
      <c r="BB40" s="118">
        <f t="shared" si="21"/>
        <v>82784.466622269785</v>
      </c>
      <c r="BC40" s="118">
        <f>EDisponible!H53</f>
        <v>0.60680642646977223</v>
      </c>
      <c r="BD40" s="118">
        <f t="shared" si="45"/>
        <v>-0.19319357353022781</v>
      </c>
      <c r="BE40" s="118">
        <f>IF(BD40&lt;0, 0, 0.00035*(10*BD40/((1/COS(M$1))-0.8))^(3/(1+1/(DATOS!E$6))))</f>
        <v>0</v>
      </c>
      <c r="BF40" s="118">
        <f t="shared" si="22"/>
        <v>82784.466622269785</v>
      </c>
      <c r="BG40" s="118">
        <f t="shared" si="46"/>
        <v>4789053.2342999503</v>
      </c>
      <c r="BH40" s="118">
        <f t="shared" si="23"/>
        <v>0.59978193590071405</v>
      </c>
      <c r="BI40" s="118">
        <f t="shared" si="24"/>
        <v>3.5719113881334023E-2</v>
      </c>
      <c r="BJ40" s="118">
        <f t="shared" si="25"/>
        <v>85530.368929865479</v>
      </c>
      <c r="BK40" s="118">
        <f>EDisponible!I53</f>
        <v>0.62011292266048679</v>
      </c>
      <c r="BL40" s="118">
        <f t="shared" si="47"/>
        <v>-0.17988707733951326</v>
      </c>
      <c r="BM40" s="118">
        <f>IF(BL40&lt;0, 0, 0.00035*(10*BL40/((1/COS(M$1))-0.8))^(3/(1+1/(DATOS!E$6))))</f>
        <v>0</v>
      </c>
      <c r="BN40" s="118">
        <f t="shared" si="26"/>
        <v>85530.368929865479</v>
      </c>
    </row>
    <row r="41" spans="1:66">
      <c r="A41" s="41">
        <f>EDisponible!A54</f>
        <v>190</v>
      </c>
      <c r="B41" s="44"/>
      <c r="C41" s="118">
        <f t="shared" si="0"/>
        <v>15937501.38148476</v>
      </c>
      <c r="D41" s="118">
        <f t="shared" si="1"/>
        <v>0.18022822720109496</v>
      </c>
      <c r="E41" s="118">
        <f t="shared" si="2"/>
        <v>1.5165656794114815E-2</v>
      </c>
      <c r="F41" s="118">
        <f t="shared" si="3"/>
        <v>120851.33805366429</v>
      </c>
      <c r="G41" s="118">
        <f>EDisponible!B54</f>
        <v>0.55636007508662599</v>
      </c>
      <c r="H41" s="118">
        <f t="shared" si="27"/>
        <v>-0.24363992491337405</v>
      </c>
      <c r="I41" s="118">
        <f>IF(H41&lt;0, 0, 0.00035*(10*H41/((1/COS(M$1))-0.8))^(3/(1+1/(DATOS!E$6))))</f>
        <v>0</v>
      </c>
      <c r="J41" s="118">
        <f t="shared" si="28"/>
        <v>120851.33805366429</v>
      </c>
      <c r="K41" s="118">
        <f t="shared" si="29"/>
        <v>13767831.067219967</v>
      </c>
      <c r="L41" s="11">
        <f t="shared" si="4"/>
        <v>0.20863036494098991</v>
      </c>
      <c r="M41" s="118">
        <f t="shared" si="5"/>
        <v>1.5859305824522916E-2</v>
      </c>
      <c r="N41" s="118">
        <f t="shared" si="6"/>
        <v>109174.12171770459</v>
      </c>
      <c r="O41" s="118">
        <f>EDisponible!C54</f>
        <v>0.56601853578892014</v>
      </c>
      <c r="P41" s="118">
        <f t="shared" si="30"/>
        <v>-0.2339814642110799</v>
      </c>
      <c r="Q41" s="118">
        <f>IF(P41&lt;0, 0, 0.00035*(10*P41/((1/COS(M$1))-0.8))^(3/(1+1/(DATOS!E$6))))</f>
        <v>0</v>
      </c>
      <c r="R41" s="118">
        <f t="shared" si="31"/>
        <v>109174.12171770459</v>
      </c>
      <c r="S41" s="118">
        <f t="shared" si="32"/>
        <v>11831708.862116506</v>
      </c>
      <c r="T41" s="118">
        <f t="shared" si="7"/>
        <v>0.24277030929969784</v>
      </c>
      <c r="U41" s="118">
        <f t="shared" si="8"/>
        <v>1.6827187053371044E-2</v>
      </c>
      <c r="V41" s="118">
        <f t="shared" si="9"/>
        <v>99547.189091931155</v>
      </c>
      <c r="W41" s="118">
        <f>EDisponible!D54</f>
        <v>0.57619813277098719</v>
      </c>
      <c r="X41" s="118">
        <f t="shared" si="33"/>
        <v>-0.22380186722901285</v>
      </c>
      <c r="Y41" s="118">
        <f>IF(X41&lt;0, 0, 0.00035*(10*X41/((1/COS(M$1))-0.8))^(3/(1+1/(DATOS!E$6))))</f>
        <v>0</v>
      </c>
      <c r="Z41" s="118">
        <f t="shared" si="34"/>
        <v>99547.189091931155</v>
      </c>
      <c r="AA41" s="118">
        <f t="shared" si="35"/>
        <v>10111111.381628849</v>
      </c>
      <c r="AB41" s="118">
        <f t="shared" si="10"/>
        <v>0.28408228448743217</v>
      </c>
      <c r="AC41" s="118">
        <f t="shared" si="11"/>
        <v>1.8194166979434646E-2</v>
      </c>
      <c r="AD41" s="118">
        <f t="shared" si="36"/>
        <v>91981.624412508711</v>
      </c>
      <c r="AE41" s="118">
        <f>EDisponible!E54</f>
        <v>0.58694748195320789</v>
      </c>
      <c r="AF41" s="118">
        <f t="shared" si="37"/>
        <v>-0.21305251804679215</v>
      </c>
      <c r="AG41" s="118">
        <f>IF(AF41&lt;0, 0, 0.00035*(10*AF41/((1/COS(M$1))-0.8))^(3/(1+1/(DATOS!E$6))))</f>
        <v>0</v>
      </c>
      <c r="AH41" s="118">
        <f t="shared" si="38"/>
        <v>91981.624412508711</v>
      </c>
      <c r="AI41" s="118">
        <f t="shared" si="39"/>
        <v>8588817.476646645</v>
      </c>
      <c r="AJ41" s="118">
        <f t="shared" si="12"/>
        <v>0.33443342204094367</v>
      </c>
      <c r="AK41" s="118">
        <f t="shared" si="13"/>
        <v>2.0150113941170854E-2</v>
      </c>
      <c r="AL41" s="118">
        <f t="shared" si="14"/>
        <v>86532.825387174715</v>
      </c>
      <c r="AM41" s="118">
        <f>EDisponible!F54</f>
        <v>0.5983217951982176</v>
      </c>
      <c r="AN41" s="118">
        <f t="shared" si="40"/>
        <v>-0.20167820480178245</v>
      </c>
      <c r="AO41" s="118">
        <f>IF(AN41&lt;0, 0, 0.00035*(10*AN41/((1/COS(M$1))-0.8))^(3/(1+1/(DATOS!E$6))))</f>
        <v>0</v>
      </c>
      <c r="AP41" s="118">
        <f t="shared" si="41"/>
        <v>86532.825387174715</v>
      </c>
      <c r="AQ41" s="118">
        <f t="shared" si="42"/>
        <v>7248400.6835312881</v>
      </c>
      <c r="AR41" s="118">
        <f t="shared" si="15"/>
        <v>0.3962788131354551</v>
      </c>
      <c r="AS41" s="118">
        <f t="shared" si="16"/>
        <v>2.2988364776542987E-2</v>
      </c>
      <c r="AT41" s="118">
        <f t="shared" si="17"/>
        <v>83314.439479780383</v>
      </c>
      <c r="AU41" s="118">
        <f>EDisponible!G54</f>
        <v>0.61038407737955491</v>
      </c>
      <c r="AV41" s="118">
        <f t="shared" si="43"/>
        <v>-0.18961592262044513</v>
      </c>
      <c r="AW41" s="118">
        <f>IF(AV41&lt;0, 0, 0.00035*(10*AV41/((1/COS(M$1))-0.8))^(3/(1+1/(DATOS!E$6))))</f>
        <v>0</v>
      </c>
      <c r="AX41" s="118">
        <f t="shared" si="18"/>
        <v>83314.439479780383</v>
      </c>
      <c r="AY41" s="118">
        <f t="shared" si="44"/>
        <v>6074221.4596339092</v>
      </c>
      <c r="AZ41" s="118">
        <f t="shared" si="19"/>
        <v>0.47288160945207253</v>
      </c>
      <c r="BA41" s="118">
        <f t="shared" si="20"/>
        <v>2.7169956434176176E-2</v>
      </c>
      <c r="BB41" s="118">
        <f t="shared" si="21"/>
        <v>82518.166214895668</v>
      </c>
      <c r="BC41" s="118">
        <f>EDisponible!H54</f>
        <v>0.62320660015814444</v>
      </c>
      <c r="BD41" s="118">
        <f t="shared" si="45"/>
        <v>-0.1767933998418556</v>
      </c>
      <c r="BE41" s="118">
        <f>IF(BD41&lt;0, 0, 0.00035*(10*BD41/((1/COS(M$1))-0.8))^(3/(1+1/(DATOS!E$6))))</f>
        <v>0</v>
      </c>
      <c r="BF41" s="118">
        <f t="shared" si="22"/>
        <v>82518.166214895668</v>
      </c>
      <c r="BG41" s="118">
        <f t="shared" si="46"/>
        <v>5051419.1894296044</v>
      </c>
      <c r="BH41" s="118">
        <f t="shared" si="23"/>
        <v>0.56862982704160492</v>
      </c>
      <c r="BI41" s="118">
        <f t="shared" si="24"/>
        <v>3.3433091767814505E-2</v>
      </c>
      <c r="BJ41" s="118">
        <f t="shared" si="25"/>
        <v>84442.280658949559</v>
      </c>
      <c r="BK41" s="118">
        <f>EDisponible!I54</f>
        <v>0.6368727313810405</v>
      </c>
      <c r="BL41" s="118">
        <f t="shared" si="47"/>
        <v>-0.16312726861895954</v>
      </c>
      <c r="BM41" s="118">
        <f>IF(BL41&lt;0, 0, 0.00035*(10*BL41/((1/COS(M$1))-0.8))^(3/(1+1/(DATOS!E$6))))</f>
        <v>0</v>
      </c>
      <c r="BN41" s="118">
        <f t="shared" si="26"/>
        <v>84442.280658949559</v>
      </c>
    </row>
    <row r="42" spans="1:66">
      <c r="A42" s="41">
        <f>EDisponible!A55</f>
        <v>195</v>
      </c>
      <c r="B42" s="44"/>
      <c r="C42" s="118">
        <f t="shared" si="0"/>
        <v>16787354.294486374</v>
      </c>
      <c r="D42" s="118">
        <f t="shared" si="1"/>
        <v>0.17110424725731826</v>
      </c>
      <c r="E42" s="118">
        <f t="shared" si="2"/>
        <v>1.4964330883915989E-2</v>
      </c>
      <c r="F42" s="118">
        <f t="shared" si="3"/>
        <v>125605.76216411107</v>
      </c>
      <c r="G42" s="118">
        <f>EDisponible!B55</f>
        <v>0.57100112969416872</v>
      </c>
      <c r="H42" s="118">
        <f t="shared" si="27"/>
        <v>-0.22899887030583133</v>
      </c>
      <c r="I42" s="118">
        <f>IF(H42&lt;0, 0, 0.00035*(10*H42/((1/COS(M$1))-0.8))^(3/(1+1/(DATOS!E$6))))</f>
        <v>0</v>
      </c>
      <c r="J42" s="118">
        <f t="shared" si="28"/>
        <v>125605.76216411107</v>
      </c>
      <c r="K42" s="118">
        <f t="shared" si="29"/>
        <v>14501988.264017709</v>
      </c>
      <c r="L42" s="11">
        <f t="shared" si="4"/>
        <v>0.19806853844496344</v>
      </c>
      <c r="M42" s="118">
        <f t="shared" si="5"/>
        <v>1.5589526237793191E-2</v>
      </c>
      <c r="N42" s="118">
        <f t="shared" si="6"/>
        <v>113039.5632710365</v>
      </c>
      <c r="O42" s="118">
        <f>EDisponible!C55</f>
        <v>0.58091376041494436</v>
      </c>
      <c r="P42" s="118">
        <f t="shared" si="30"/>
        <v>-0.21908623958505569</v>
      </c>
      <c r="Q42" s="118">
        <f>IF(P42&lt;0, 0, 0.00035*(10*P42/((1/COS(M$1))-0.8))^(3/(1+1/(DATOS!E$6))))</f>
        <v>0</v>
      </c>
      <c r="R42" s="118">
        <f t="shared" si="31"/>
        <v>113039.5632710365</v>
      </c>
      <c r="S42" s="118">
        <f t="shared" si="32"/>
        <v>12462624.085373413</v>
      </c>
      <c r="T42" s="118">
        <f t="shared" si="7"/>
        <v>0.23048016214908851</v>
      </c>
      <c r="U42" s="118">
        <f t="shared" si="8"/>
        <v>1.6461890821111057E-2</v>
      </c>
      <c r="V42" s="118">
        <f t="shared" si="9"/>
        <v>102579.17851898308</v>
      </c>
      <c r="W42" s="118">
        <f>EDisponible!D55</f>
        <v>0.59136124152811842</v>
      </c>
      <c r="X42" s="118">
        <f t="shared" si="33"/>
        <v>-0.20863875847188162</v>
      </c>
      <c r="Y42" s="118">
        <f>IF(X42&lt;0, 0, 0.00035*(10*X42/((1/COS(M$1))-0.8))^(3/(1+1/(DATOS!E$6))))</f>
        <v>0</v>
      </c>
      <c r="Z42" s="118">
        <f t="shared" si="34"/>
        <v>102579.17851898308</v>
      </c>
      <c r="AA42" s="118">
        <f t="shared" si="35"/>
        <v>10650277.293253101</v>
      </c>
      <c r="AB42" s="118">
        <f t="shared" si="10"/>
        <v>0.26970073556860757</v>
      </c>
      <c r="AC42" s="118">
        <f t="shared" si="11"/>
        <v>1.7693968516246814E-2</v>
      </c>
      <c r="AD42" s="118">
        <f t="shared" si="36"/>
        <v>94222.835558059349</v>
      </c>
      <c r="AE42" s="118">
        <f>EDisponible!E55</f>
        <v>0.60239346832039764</v>
      </c>
      <c r="AF42" s="118">
        <f t="shared" si="37"/>
        <v>-0.1976065316796024</v>
      </c>
      <c r="AG42" s="118">
        <f>IF(AF42&lt;0, 0, 0.00035*(10*AF42/((1/COS(M$1))-0.8))^(3/(1+1/(DATOS!E$6))))</f>
        <v>0</v>
      </c>
      <c r="AH42" s="118">
        <f t="shared" si="38"/>
        <v>94222.835558059349</v>
      </c>
      <c r="AI42" s="118">
        <f t="shared" si="39"/>
        <v>9046808.436273925</v>
      </c>
      <c r="AJ42" s="118">
        <f t="shared" si="12"/>
        <v>0.31750286747345341</v>
      </c>
      <c r="AK42" s="118">
        <f t="shared" si="13"/>
        <v>1.945689025231304E-2</v>
      </c>
      <c r="AL42" s="118">
        <f t="shared" si="14"/>
        <v>88011.379439140757</v>
      </c>
      <c r="AM42" s="118">
        <f>EDisponible!F55</f>
        <v>0.61406710559817068</v>
      </c>
      <c r="AN42" s="118">
        <f t="shared" si="40"/>
        <v>-0.18593289440182936</v>
      </c>
      <c r="AO42" s="118">
        <f>IF(AN42&lt;0, 0, 0.00035*(10*AN42/((1/COS(M$1))-0.8))^(3/(1+1/(DATOS!E$6))))</f>
        <v>0</v>
      </c>
      <c r="AP42" s="118">
        <f t="shared" si="41"/>
        <v>88011.379439140757</v>
      </c>
      <c r="AQ42" s="118">
        <f t="shared" si="42"/>
        <v>7634915.1244121119</v>
      </c>
      <c r="AR42" s="118">
        <f t="shared" si="15"/>
        <v>0.37621736105693432</v>
      </c>
      <c r="AS42" s="118">
        <f t="shared" si="16"/>
        <v>2.2015044531529367E-2</v>
      </c>
      <c r="AT42" s="118">
        <f t="shared" si="17"/>
        <v>84041.498229189863</v>
      </c>
      <c r="AU42" s="118">
        <f>EDisponible!G55</f>
        <v>0.62644681625796428</v>
      </c>
      <c r="AV42" s="118">
        <f t="shared" si="43"/>
        <v>-0.17355318374203577</v>
      </c>
      <c r="AW42" s="118">
        <f>IF(AV42&lt;0, 0, 0.00035*(10*AV42/((1/COS(M$1))-0.8))^(3/(1+1/(DATOS!E$6))))</f>
        <v>0</v>
      </c>
      <c r="AX42" s="118">
        <f t="shared" si="18"/>
        <v>84041.498229189863</v>
      </c>
      <c r="AY42" s="118">
        <f t="shared" si="44"/>
        <v>6398123.8504869631</v>
      </c>
      <c r="AZ42" s="118">
        <f t="shared" si="19"/>
        <v>0.44894217228717476</v>
      </c>
      <c r="BA42" s="118">
        <f t="shared" si="20"/>
        <v>2.5783970258457634E-2</v>
      </c>
      <c r="BB42" s="118">
        <f t="shared" si="21"/>
        <v>82484.517535442152</v>
      </c>
      <c r="BC42" s="118">
        <f>EDisponible!H55</f>
        <v>0.63960677384651665</v>
      </c>
      <c r="BD42" s="118">
        <f t="shared" si="45"/>
        <v>-0.16039322615348339</v>
      </c>
      <c r="BE42" s="118">
        <f>IF(BD42&lt;0, 0, 0.00035*(10*BD42/((1/COS(M$1))-0.8))^(3/(1+1/(DATOS!E$6))))</f>
        <v>0</v>
      </c>
      <c r="BF42" s="118">
        <f t="shared" si="22"/>
        <v>82484.517535442152</v>
      </c>
      <c r="BG42" s="118">
        <f t="shared" si="46"/>
        <v>5320781.5700293817</v>
      </c>
      <c r="BH42" s="118">
        <f t="shared" si="23"/>
        <v>0.53984317570550799</v>
      </c>
      <c r="BI42" s="118">
        <f t="shared" si="24"/>
        <v>3.1429019757036283E-2</v>
      </c>
      <c r="BJ42" s="118">
        <f t="shared" si="25"/>
        <v>83613.474543663979</v>
      </c>
      <c r="BK42" s="118">
        <f>EDisponible!I55</f>
        <v>0.65363254010159411</v>
      </c>
      <c r="BL42" s="118">
        <f t="shared" si="47"/>
        <v>-0.14636745989840594</v>
      </c>
      <c r="BM42" s="118">
        <f>IF(BL42&lt;0, 0, 0.00035*(10*BL42/((1/COS(M$1))-0.8))^(3/(1+1/(DATOS!E$6))))</f>
        <v>0</v>
      </c>
      <c r="BN42" s="118">
        <f t="shared" si="26"/>
        <v>83613.474543663979</v>
      </c>
    </row>
    <row r="43" spans="1:66">
      <c r="A43" s="41">
        <f>EDisponible!A56</f>
        <v>200</v>
      </c>
      <c r="B43" s="44"/>
      <c r="C43" s="118">
        <f t="shared" si="0"/>
        <v>17659281.309124388</v>
      </c>
      <c r="D43" s="118">
        <f t="shared" si="1"/>
        <v>0.16265597504898821</v>
      </c>
      <c r="E43" s="118">
        <f t="shared" si="2"/>
        <v>1.4787238644652796E-2</v>
      </c>
      <c r="F43" s="118">
        <f t="shared" si="3"/>
        <v>130566.00350553948</v>
      </c>
      <c r="G43" s="118">
        <f>EDisponible!B56</f>
        <v>0.58564218430171155</v>
      </c>
      <c r="H43" s="118">
        <f t="shared" si="27"/>
        <v>-0.21435781569828849</v>
      </c>
      <c r="I43" s="118">
        <f>IF(H43&lt;0, 0, 0.00035*(10*H43/((1/COS(M$1))-0.8))^(3/(1+1/(DATOS!E$6))))</f>
        <v>0</v>
      </c>
      <c r="J43" s="118">
        <f t="shared" si="28"/>
        <v>130566.00350553948</v>
      </c>
      <c r="K43" s="118">
        <f t="shared" si="29"/>
        <v>15255214.478914091</v>
      </c>
      <c r="L43" s="11">
        <f t="shared" si="4"/>
        <v>0.18828890435924336</v>
      </c>
      <c r="M43" s="118">
        <f t="shared" si="5"/>
        <v>1.5352220115226634E-2</v>
      </c>
      <c r="N43" s="118">
        <f t="shared" si="6"/>
        <v>117100.70529264075</v>
      </c>
      <c r="O43" s="118">
        <f>EDisponible!C56</f>
        <v>0.59580898504096858</v>
      </c>
      <c r="P43" s="118">
        <f t="shared" si="30"/>
        <v>-0.20419101495903147</v>
      </c>
      <c r="Q43" s="118">
        <f>IF(P43&lt;0, 0, 0.00035*(10*P43/((1/COS(M$1))-0.8))^(3/(1+1/(DATOS!E$6))))</f>
        <v>0</v>
      </c>
      <c r="R43" s="118">
        <f t="shared" si="31"/>
        <v>117100.70529264075</v>
      </c>
      <c r="S43" s="118">
        <f t="shared" si="32"/>
        <v>13109926.717026601</v>
      </c>
      <c r="T43" s="118">
        <f t="shared" si="7"/>
        <v>0.21910020414297729</v>
      </c>
      <c r="U43" s="118">
        <f t="shared" si="8"/>
        <v>1.6140565425381115E-2</v>
      </c>
      <c r="V43" s="118">
        <f t="shared" si="9"/>
        <v>105800.81494905984</v>
      </c>
      <c r="W43" s="118">
        <f>EDisponible!D56</f>
        <v>0.60652435028524965</v>
      </c>
      <c r="X43" s="118">
        <f t="shared" si="33"/>
        <v>-0.1934756497147504</v>
      </c>
      <c r="Y43" s="118">
        <f>IF(X43&lt;0, 0, 0.00035*(10*X43/((1/COS(M$1))-0.8))^(3/(1+1/(DATOS!E$6))))</f>
        <v>0</v>
      </c>
      <c r="Z43" s="118">
        <f t="shared" si="34"/>
        <v>105800.81494905984</v>
      </c>
      <c r="AA43" s="118">
        <f t="shared" si="35"/>
        <v>11203447.514270192</v>
      </c>
      <c r="AB43" s="118">
        <f t="shared" si="10"/>
        <v>0.25638426174990758</v>
      </c>
      <c r="AC43" s="118">
        <f t="shared" si="11"/>
        <v>1.7253979118784457E-2</v>
      </c>
      <c r="AD43" s="118">
        <f t="shared" si="36"/>
        <v>96652.024734807768</v>
      </c>
      <c r="AE43" s="118">
        <f>EDisponible!E56</f>
        <v>0.61783945468758728</v>
      </c>
      <c r="AF43" s="118">
        <f t="shared" si="37"/>
        <v>-0.18216054531241277</v>
      </c>
      <c r="AG43" s="118">
        <f>IF(AF43&lt;0, 0, 0.00035*(10*AF43/((1/COS(M$1))-0.8))^(3/(1+1/(DATOS!E$6))))</f>
        <v>0</v>
      </c>
      <c r="AH43" s="118">
        <f t="shared" si="38"/>
        <v>96652.024734807768</v>
      </c>
      <c r="AI43" s="118">
        <f t="shared" si="39"/>
        <v>9516695.2649824321</v>
      </c>
      <c r="AJ43" s="118">
        <f t="shared" si="12"/>
        <v>0.30182616339195162</v>
      </c>
      <c r="AK43" s="118">
        <f t="shared" si="13"/>
        <v>1.8847110143787107E-2</v>
      </c>
      <c r="AL43" s="118">
        <f t="shared" si="14"/>
        <v>89681.101931990561</v>
      </c>
      <c r="AM43" s="118">
        <f>EDisponible!F56</f>
        <v>0.62981241599812376</v>
      </c>
      <c r="AN43" s="118">
        <f t="shared" si="40"/>
        <v>-0.17018758400187628</v>
      </c>
      <c r="AO43" s="118">
        <f>IF(AN43&lt;0, 0, 0.00035*(10*AN43/((1/COS(M$1))-0.8))^(3/(1+1/(DATOS!E$6))))</f>
        <v>0</v>
      </c>
      <c r="AP43" s="118">
        <f t="shared" si="41"/>
        <v>89681.101931990561</v>
      </c>
      <c r="AQ43" s="118">
        <f t="shared" si="42"/>
        <v>8031468.9014197094</v>
      </c>
      <c r="AR43" s="118">
        <f t="shared" si="15"/>
        <v>0.35764162885474821</v>
      </c>
      <c r="AS43" s="118">
        <f t="shared" si="16"/>
        <v>2.1158883188265434E-2</v>
      </c>
      <c r="AT43" s="118">
        <f t="shared" si="17"/>
        <v>84968.45615766308</v>
      </c>
      <c r="AU43" s="118">
        <f>EDisponible!G56</f>
        <v>0.64250955513637353</v>
      </c>
      <c r="AV43" s="118">
        <f t="shared" si="43"/>
        <v>-0.15749044486362651</v>
      </c>
      <c r="AW43" s="118">
        <f>IF(AV43&lt;0, 0, 0.00035*(10*AV43/((1/COS(M$1))-0.8))^(3/(1+1/(DATOS!E$6))))</f>
        <v>0</v>
      </c>
      <c r="AX43" s="118">
        <f t="shared" si="18"/>
        <v>84968.45615766308</v>
      </c>
      <c r="AY43" s="118">
        <f t="shared" si="44"/>
        <v>6730439.2904530838</v>
      </c>
      <c r="AZ43" s="118">
        <f t="shared" si="19"/>
        <v>0.42677565253049554</v>
      </c>
      <c r="BA43" s="118">
        <f t="shared" si="20"/>
        <v>2.4564815728355529E-2</v>
      </c>
      <c r="BB43" s="118">
        <f t="shared" si="21"/>
        <v>82666.000470431973</v>
      </c>
      <c r="BC43" s="118">
        <f>EDisponible!H56</f>
        <v>0.65600694753488886</v>
      </c>
      <c r="BD43" s="118">
        <f t="shared" si="45"/>
        <v>-0.14399305246511118</v>
      </c>
      <c r="BE43" s="118">
        <f>IF(BD43&lt;0, 0, 0.00035*(10*BD43/((1/COS(M$1))-0.8))^(3/(1+1/(DATOS!E$6))))</f>
        <v>0</v>
      </c>
      <c r="BF43" s="118">
        <f t="shared" si="22"/>
        <v>82666.000470431973</v>
      </c>
      <c r="BG43" s="118">
        <f t="shared" si="46"/>
        <v>5597140.3760992847</v>
      </c>
      <c r="BH43" s="118">
        <f t="shared" si="23"/>
        <v>0.5131884189050484</v>
      </c>
      <c r="BI43" s="118">
        <f t="shared" si="24"/>
        <v>2.9666178602199778E-2</v>
      </c>
      <c r="BJ43" s="118">
        <f t="shared" si="25"/>
        <v>83022.883029472505</v>
      </c>
      <c r="BK43" s="118">
        <f>EDisponible!I56</f>
        <v>0.67039234882214782</v>
      </c>
      <c r="BL43" s="118">
        <f t="shared" si="47"/>
        <v>-0.12960765117785222</v>
      </c>
      <c r="BM43" s="118">
        <f>IF(BL43&lt;0, 0, 0.00035*(10*BL43/((1/COS(M$1))-0.8))^(3/(1+1/(DATOS!E$6))))</f>
        <v>0</v>
      </c>
      <c r="BN43" s="118">
        <f t="shared" si="26"/>
        <v>83022.883029472505</v>
      </c>
    </row>
    <row r="44" spans="1:66">
      <c r="A44" s="41">
        <f>EDisponible!A57</f>
        <v>205</v>
      </c>
      <c r="B44" s="44"/>
      <c r="C44" s="118">
        <f t="shared" si="0"/>
        <v>18553282.425398808</v>
      </c>
      <c r="D44" s="118">
        <f t="shared" si="1"/>
        <v>0.1548182986783945</v>
      </c>
      <c r="E44" s="118">
        <f t="shared" si="2"/>
        <v>1.4630962416733581E-2</v>
      </c>
      <c r="F44" s="118">
        <f t="shared" si="3"/>
        <v>135726.1889365268</v>
      </c>
      <c r="G44" s="118">
        <f>EDisponible!B57</f>
        <v>0.60028323890925428</v>
      </c>
      <c r="H44" s="118">
        <f t="shared" si="27"/>
        <v>-0.19971676109074576</v>
      </c>
      <c r="I44" s="118">
        <f>IF(H44&lt;0, 0, 0.00035*(10*H44/((1/COS(M$1))-0.8))^(3/(1+1/(DATOS!E$6))))</f>
        <v>0</v>
      </c>
      <c r="J44" s="118">
        <f t="shared" si="28"/>
        <v>135726.1889365268</v>
      </c>
      <c r="K44" s="118">
        <f t="shared" si="29"/>
        <v>16027509.711909117</v>
      </c>
      <c r="L44" s="11">
        <f t="shared" si="4"/>
        <v>0.17921608981248627</v>
      </c>
      <c r="M44" s="118">
        <f t="shared" si="5"/>
        <v>1.5142807744299863E-2</v>
      </c>
      <c r="N44" s="118">
        <f t="shared" si="6"/>
        <v>121350.74909366932</v>
      </c>
      <c r="O44" s="118">
        <f>EDisponible!C57</f>
        <v>0.61070420966699279</v>
      </c>
      <c r="P44" s="118">
        <f t="shared" si="30"/>
        <v>-0.18929579033300725</v>
      </c>
      <c r="Q44" s="118">
        <f>IF(P44&lt;0, 0, 0.00035*(10*P44/((1/COS(M$1))-0.8))^(3/(1+1/(DATOS!E$6))))</f>
        <v>0</v>
      </c>
      <c r="R44" s="118">
        <f t="shared" si="31"/>
        <v>121350.74909366932</v>
      </c>
      <c r="S44" s="118">
        <f t="shared" si="32"/>
        <v>13773616.757076073</v>
      </c>
      <c r="T44" s="118">
        <f t="shared" si="7"/>
        <v>0.20854272851205449</v>
      </c>
      <c r="U44" s="118">
        <f t="shared" si="8"/>
        <v>1.5857009686359176E-2</v>
      </c>
      <c r="V44" s="118">
        <f t="shared" si="9"/>
        <v>109204.18716657718</v>
      </c>
      <c r="W44" s="118">
        <f>EDisponible!D57</f>
        <v>0.62168745904238087</v>
      </c>
      <c r="X44" s="118">
        <f t="shared" si="33"/>
        <v>-0.17831254095761917</v>
      </c>
      <c r="Y44" s="118">
        <f>IF(X44&lt;0, 0, 0.00035*(10*X44/((1/COS(M$1))-0.8))^(3/(1+1/(DATOS!E$6))))</f>
        <v>0</v>
      </c>
      <c r="Z44" s="118">
        <f t="shared" si="34"/>
        <v>109204.18716657718</v>
      </c>
      <c r="AA44" s="118">
        <f t="shared" si="35"/>
        <v>11770622.04468012</v>
      </c>
      <c r="AB44" s="118">
        <f t="shared" si="10"/>
        <v>0.24403023129081028</v>
      </c>
      <c r="AC44" s="118">
        <f t="shared" si="11"/>
        <v>1.6865707539826812E-2</v>
      </c>
      <c r="AD44" s="118">
        <f t="shared" si="36"/>
        <v>99259.934483706602</v>
      </c>
      <c r="AE44" s="118">
        <f>EDisponible!E57</f>
        <v>0.63328544105477702</v>
      </c>
      <c r="AF44" s="118">
        <f t="shared" si="37"/>
        <v>-0.16671455894522302</v>
      </c>
      <c r="AG44" s="118">
        <f>IF(AF44&lt;0, 0, 0.00035*(10*AF44/((1/COS(M$1))-0.8))^(3/(1+1/(DATOS!E$6))))</f>
        <v>0</v>
      </c>
      <c r="AH44" s="118">
        <f t="shared" si="38"/>
        <v>99259.934483706602</v>
      </c>
      <c r="AI44" s="118">
        <f t="shared" si="39"/>
        <v>9998477.9627721682</v>
      </c>
      <c r="AJ44" s="118">
        <f t="shared" si="12"/>
        <v>0.28728248746408247</v>
      </c>
      <c r="AK44" s="118">
        <f t="shared" si="13"/>
        <v>1.8309005619178458E-2</v>
      </c>
      <c r="AL44" s="118">
        <f t="shared" si="14"/>
        <v>91531.094601813806</v>
      </c>
      <c r="AM44" s="118">
        <f>EDisponible!F57</f>
        <v>0.64555772639807685</v>
      </c>
      <c r="AN44" s="118">
        <f t="shared" si="40"/>
        <v>-0.1544422736019232</v>
      </c>
      <c r="AO44" s="118">
        <f>IF(AN44&lt;0, 0, 0.00035*(10*AN44/((1/COS(M$1))-0.8))^(3/(1+1/(DATOS!E$6))))</f>
        <v>0</v>
      </c>
      <c r="AP44" s="118">
        <f t="shared" si="41"/>
        <v>91531.094601813806</v>
      </c>
      <c r="AQ44" s="118">
        <f t="shared" si="42"/>
        <v>8438062.0145540833</v>
      </c>
      <c r="AR44" s="118">
        <f t="shared" si="15"/>
        <v>0.34040845102177103</v>
      </c>
      <c r="AS44" s="118">
        <f t="shared" si="16"/>
        <v>2.0403357899454286E-2</v>
      </c>
      <c r="AT44" s="118">
        <f t="shared" si="17"/>
        <v>86082.3996303686</v>
      </c>
      <c r="AU44" s="118">
        <f>EDisponible!G57</f>
        <v>0.6585722940147829</v>
      </c>
      <c r="AV44" s="118">
        <f t="shared" si="43"/>
        <v>-0.14142770598521714</v>
      </c>
      <c r="AW44" s="118">
        <f>IF(AV44&lt;0, 0, 0.00035*(10*AV44/((1/COS(M$1))-0.8))^(3/(1+1/(DATOS!E$6))))</f>
        <v>0</v>
      </c>
      <c r="AX44" s="118">
        <f t="shared" si="18"/>
        <v>86082.3996303686</v>
      </c>
      <c r="AY44" s="118">
        <f t="shared" si="44"/>
        <v>7071167.7795322714</v>
      </c>
      <c r="AZ44" s="118">
        <f t="shared" si="19"/>
        <v>0.4062112100230772</v>
      </c>
      <c r="BA44" s="118">
        <f t="shared" si="20"/>
        <v>2.3488964680293375E-2</v>
      </c>
      <c r="BB44" s="118">
        <f t="shared" si="21"/>
        <v>83047.205110931027</v>
      </c>
      <c r="BC44" s="118">
        <f>EDisponible!H57</f>
        <v>0.67240712122326107</v>
      </c>
      <c r="BD44" s="118">
        <f t="shared" si="45"/>
        <v>-0.12759287877673897</v>
      </c>
      <c r="BE44" s="118">
        <f>IF(BD44&lt;0, 0, 0.00035*(10*BD44/((1/COS(M$1))-0.8))^(3/(1+1/(DATOS!E$6))))</f>
        <v>0</v>
      </c>
      <c r="BF44" s="118">
        <f t="shared" si="22"/>
        <v>83047.205110931027</v>
      </c>
      <c r="BG44" s="118">
        <f t="shared" si="46"/>
        <v>5880495.60763931</v>
      </c>
      <c r="BH44" s="118">
        <f t="shared" si="23"/>
        <v>0.4884601250732169</v>
      </c>
      <c r="BI44" s="118">
        <f t="shared" si="24"/>
        <v>2.8110547665210109E-2</v>
      </c>
      <c r="BJ44" s="118">
        <f t="shared" si="25"/>
        <v>82651.976036801745</v>
      </c>
      <c r="BK44" s="118">
        <f>EDisponible!I57</f>
        <v>0.68715215754270154</v>
      </c>
      <c r="BL44" s="118">
        <f t="shared" si="47"/>
        <v>-0.11284784245729851</v>
      </c>
      <c r="BM44" s="118">
        <f>IF(BL44&lt;0, 0, 0.00035*(10*BL44/((1/COS(M$1))-0.8))^(3/(1+1/(DATOS!E$6))))</f>
        <v>0</v>
      </c>
      <c r="BN44" s="118">
        <f t="shared" si="26"/>
        <v>82651.976036801745</v>
      </c>
    </row>
    <row r="45" spans="1:66">
      <c r="A45" s="41">
        <f>EDisponible!A58</f>
        <v>210</v>
      </c>
      <c r="B45" s="44"/>
      <c r="C45" s="118">
        <f t="shared" si="0"/>
        <v>19469357.643309638</v>
      </c>
      <c r="D45" s="118">
        <f t="shared" si="1"/>
        <v>0.14753376421676934</v>
      </c>
      <c r="E45" s="118">
        <f t="shared" si="2"/>
        <v>1.4492633876763176E-2</v>
      </c>
      <c r="F45" s="118">
        <f t="shared" si="3"/>
        <v>141081.13607012367</v>
      </c>
      <c r="G45" s="118">
        <f>EDisponible!B58</f>
        <v>0.61492429351679712</v>
      </c>
      <c r="H45" s="118">
        <f t="shared" si="27"/>
        <v>-0.18507570648320293</v>
      </c>
      <c r="I45" s="118">
        <f>IF(H45&lt;0, 0, 0.00035*(10*H45/((1/COS(M$1))-0.8))^(3/(1+1/(DATOS!E$6))))</f>
        <v>0</v>
      </c>
      <c r="J45" s="118">
        <f t="shared" si="28"/>
        <v>141081.13607012367</v>
      </c>
      <c r="K45" s="118">
        <f t="shared" si="29"/>
        <v>16818873.963002786</v>
      </c>
      <c r="L45" s="11">
        <f t="shared" si="4"/>
        <v>0.17078358672040214</v>
      </c>
      <c r="M45" s="118">
        <f t="shared" si="5"/>
        <v>1.4957445530815829E-2</v>
      </c>
      <c r="N45" s="118">
        <f t="shared" si="6"/>
        <v>125783.69559563536</v>
      </c>
      <c r="O45" s="118">
        <f>EDisponible!C58</f>
        <v>0.62559943429301701</v>
      </c>
      <c r="P45" s="118">
        <f t="shared" si="30"/>
        <v>-0.17440056570698304</v>
      </c>
      <c r="Q45" s="118">
        <f>IF(P45&lt;0, 0, 0.00035*(10*P45/((1/COS(M$1))-0.8))^(3/(1+1/(DATOS!E$6))))</f>
        <v>0</v>
      </c>
      <c r="R45" s="118">
        <f t="shared" si="31"/>
        <v>125783.69559563536</v>
      </c>
      <c r="S45" s="118">
        <f t="shared" si="32"/>
        <v>14453694.205521828</v>
      </c>
      <c r="T45" s="118">
        <f t="shared" si="7"/>
        <v>0.19873034389385694</v>
      </c>
      <c r="U45" s="118">
        <f t="shared" si="8"/>
        <v>1.5606019168470495E-2</v>
      </c>
      <c r="V45" s="118">
        <f t="shared" si="9"/>
        <v>112782.31441329228</v>
      </c>
      <c r="W45" s="118">
        <f>EDisponible!D58</f>
        <v>0.6368505677995121</v>
      </c>
      <c r="X45" s="118">
        <f t="shared" si="33"/>
        <v>-0.16314943220048794</v>
      </c>
      <c r="Y45" s="118">
        <f>IF(X45&lt;0, 0, 0.00035*(10*X45/((1/COS(M$1))-0.8))^(3/(1+1/(DATOS!E$6))))</f>
        <v>0</v>
      </c>
      <c r="Z45" s="118">
        <f t="shared" si="34"/>
        <v>112782.31441329228</v>
      </c>
      <c r="AA45" s="118">
        <f t="shared" si="35"/>
        <v>12351800.884482887</v>
      </c>
      <c r="AB45" s="118">
        <f t="shared" si="10"/>
        <v>0.2325480832198708</v>
      </c>
      <c r="AC45" s="118">
        <f t="shared" si="11"/>
        <v>1.6522027369500595E-2</v>
      </c>
      <c r="AD45" s="118">
        <f t="shared" si="36"/>
        <v>102038.39613802395</v>
      </c>
      <c r="AE45" s="118">
        <f>EDisponible!E58</f>
        <v>0.64873142742196666</v>
      </c>
      <c r="AF45" s="118">
        <f t="shared" si="37"/>
        <v>-0.15126857257803339</v>
      </c>
      <c r="AG45" s="118">
        <f>IF(AF45&lt;0, 0, 0.00035*(10*AF45/((1/COS(M$1))-0.8))^(3/(1+1/(DATOS!E$6))))</f>
        <v>0</v>
      </c>
      <c r="AH45" s="118">
        <f t="shared" si="38"/>
        <v>102038.39613802395</v>
      </c>
      <c r="AI45" s="118">
        <f t="shared" si="39"/>
        <v>10492156.529643131</v>
      </c>
      <c r="AJ45" s="118">
        <f t="shared" si="12"/>
        <v>0.27376522756639604</v>
      </c>
      <c r="AK45" s="118">
        <f t="shared" si="13"/>
        <v>1.7832700206438002E-2</v>
      </c>
      <c r="AL45" s="118">
        <f t="shared" si="14"/>
        <v>93551.740956073452</v>
      </c>
      <c r="AM45" s="118">
        <f>EDisponible!F58</f>
        <v>0.66130303679803004</v>
      </c>
      <c r="AN45" s="118">
        <f t="shared" si="40"/>
        <v>-0.13869696320197</v>
      </c>
      <c r="AO45" s="118">
        <f>IF(AN45&lt;0, 0, 0.00035*(10*AN45/((1/COS(M$1))-0.8))^(3/(1+1/(DATOS!E$6))))</f>
        <v>0</v>
      </c>
      <c r="AP45" s="118">
        <f t="shared" si="41"/>
        <v>93551.740956073452</v>
      </c>
      <c r="AQ45" s="118">
        <f t="shared" si="42"/>
        <v>8854694.4638152309</v>
      </c>
      <c r="AR45" s="118">
        <f t="shared" si="15"/>
        <v>0.32439150009500967</v>
      </c>
      <c r="AS45" s="118">
        <f t="shared" si="16"/>
        <v>1.973460161128748E-2</v>
      </c>
      <c r="AT45" s="118">
        <f t="shared" si="17"/>
        <v>87371.933816533186</v>
      </c>
      <c r="AU45" s="118">
        <f>EDisponible!G58</f>
        <v>0.67463503289319227</v>
      </c>
      <c r="AV45" s="118">
        <f t="shared" si="43"/>
        <v>-0.12536496710680778</v>
      </c>
      <c r="AW45" s="118">
        <f>IF(AV45&lt;0, 0, 0.00035*(10*AV45/((1/COS(M$1))-0.8))^(3/(1+1/(DATOS!E$6))))</f>
        <v>0</v>
      </c>
      <c r="AX45" s="118">
        <f t="shared" si="18"/>
        <v>87371.933816533186</v>
      </c>
      <c r="AY45" s="118">
        <f t="shared" si="44"/>
        <v>7420309.3177245259</v>
      </c>
      <c r="AZ45" s="118">
        <f t="shared" si="19"/>
        <v>0.38709809753332924</v>
      </c>
      <c r="BA45" s="118">
        <f t="shared" si="20"/>
        <v>2.2536670740993803E-2</v>
      </c>
      <c r="BB45" s="118">
        <f t="shared" si="21"/>
        <v>83614.533944943003</v>
      </c>
      <c r="BC45" s="118">
        <f>EDisponible!H58</f>
        <v>0.68880729491163328</v>
      </c>
      <c r="BD45" s="118">
        <f t="shared" si="45"/>
        <v>-0.11119270508836676</v>
      </c>
      <c r="BE45" s="118">
        <f>IF(BD45&lt;0, 0, 0.00035*(10*BD45/((1/COS(M$1))-0.8))^(3/(1+1/(DATOS!E$6))))</f>
        <v>0</v>
      </c>
      <c r="BF45" s="118">
        <f t="shared" si="22"/>
        <v>83614.533944943003</v>
      </c>
      <c r="BG45" s="118">
        <f t="shared" si="46"/>
        <v>6170847.2646494601</v>
      </c>
      <c r="BH45" s="118">
        <f t="shared" si="23"/>
        <v>0.46547702395015744</v>
      </c>
      <c r="BI45" s="118">
        <f t="shared" si="24"/>
        <v>2.6733574602116904E-2</v>
      </c>
      <c r="BJ45" s="118">
        <f t="shared" si="25"/>
        <v>82484.402853887688</v>
      </c>
      <c r="BK45" s="118">
        <f>EDisponible!I58</f>
        <v>0.70391196626325525</v>
      </c>
      <c r="BL45" s="118">
        <f t="shared" si="47"/>
        <v>-9.6088033736744793E-2</v>
      </c>
      <c r="BM45" s="118">
        <f>IF(BL45&lt;0, 0, 0.00035*(10*BL45/((1/COS(M$1))-0.8))^(3/(1+1/(DATOS!E$6))))</f>
        <v>0</v>
      </c>
      <c r="BN45" s="118">
        <f t="shared" si="26"/>
        <v>82484.402853887688</v>
      </c>
    </row>
    <row r="46" spans="1:66">
      <c r="A46" s="41">
        <f>EDisponible!A59</f>
        <v>215</v>
      </c>
      <c r="B46" s="44"/>
      <c r="C46" s="118">
        <f t="shared" si="0"/>
        <v>20407506.96285687</v>
      </c>
      <c r="D46" s="118">
        <f t="shared" si="1"/>
        <v>0.1407515197827913</v>
      </c>
      <c r="E46" s="118">
        <f t="shared" si="2"/>
        <v>1.4369835403787716E-2</v>
      </c>
      <c r="F46" s="118">
        <f t="shared" si="3"/>
        <v>146626.25802895249</v>
      </c>
      <c r="G46" s="118">
        <f>EDisponible!B59</f>
        <v>0.62956534812433995</v>
      </c>
      <c r="H46" s="118">
        <f t="shared" si="27"/>
        <v>-0.17043465187566009</v>
      </c>
      <c r="I46" s="118">
        <f>IF(H46&lt;0, 0, 0.00035*(10*H46/((1/COS(M$1))-0.8))^(3/(1+1/(DATOS!E$6))))</f>
        <v>0</v>
      </c>
      <c r="J46" s="118">
        <f t="shared" si="28"/>
        <v>146626.25802895249</v>
      </c>
      <c r="K46" s="118">
        <f t="shared" si="29"/>
        <v>17629307.232195094</v>
      </c>
      <c r="L46" s="11">
        <f t="shared" si="4"/>
        <v>0.1629325294617574</v>
      </c>
      <c r="M46" s="118">
        <f t="shared" si="5"/>
        <v>1.4792893828267241E-2</v>
      </c>
      <c r="N46" s="118">
        <f t="shared" si="6"/>
        <v>130394.23507588293</v>
      </c>
      <c r="O46" s="118">
        <f>EDisponible!C59</f>
        <v>0.64049465891904123</v>
      </c>
      <c r="P46" s="118">
        <f t="shared" si="30"/>
        <v>-0.15950534108095882</v>
      </c>
      <c r="Q46" s="118">
        <f>IF(P46&lt;0, 0, 0.00035*(10*P46/((1/COS(M$1))-0.8))^(3/(1+1/(DATOS!E$6))))</f>
        <v>0</v>
      </c>
      <c r="R46" s="118">
        <f t="shared" si="31"/>
        <v>130394.23507588293</v>
      </c>
      <c r="S46" s="118">
        <f t="shared" si="32"/>
        <v>15150159.062363867</v>
      </c>
      <c r="T46" s="118">
        <f t="shared" si="7"/>
        <v>0.18959455198959632</v>
      </c>
      <c r="U46" s="118">
        <f t="shared" si="8"/>
        <v>1.5383207214157637E-2</v>
      </c>
      <c r="V46" s="118">
        <f t="shared" si="9"/>
        <v>116529.01809189576</v>
      </c>
      <c r="W46" s="118">
        <f>EDisponible!D59</f>
        <v>0.65201367655664333</v>
      </c>
      <c r="X46" s="118">
        <f t="shared" si="33"/>
        <v>-0.14798632344335672</v>
      </c>
      <c r="Y46" s="118">
        <f>IF(X46&lt;0, 0, 0.00035*(10*X46/((1/COS(M$1))-0.8))^(3/(1+1/(DATOS!E$6))))</f>
        <v>0</v>
      </c>
      <c r="Z46" s="118">
        <f t="shared" si="34"/>
        <v>116529.01809189576</v>
      </c>
      <c r="AA46" s="118">
        <f t="shared" si="35"/>
        <v>12946984.033678491</v>
      </c>
      <c r="AB46" s="118">
        <f t="shared" si="10"/>
        <v>0.22185766295286755</v>
      </c>
      <c r="AC46" s="118">
        <f t="shared" si="11"/>
        <v>1.6216931977638328E-2</v>
      </c>
      <c r="AD46" s="118">
        <f t="shared" si="36"/>
        <v>104980.17969486679</v>
      </c>
      <c r="AE46" s="118">
        <f>EDisponible!E59</f>
        <v>0.6641774137891564</v>
      </c>
      <c r="AF46" s="118">
        <f t="shared" si="37"/>
        <v>-0.13582258621084364</v>
      </c>
      <c r="AG46" s="118">
        <f>IF(AF46&lt;0, 0, 0.00035*(10*AF46/((1/COS(M$1))-0.8))^(3/(1+1/(DATOS!E$6))))</f>
        <v>0</v>
      </c>
      <c r="AH46" s="118">
        <f t="shared" si="38"/>
        <v>104980.17969486679</v>
      </c>
      <c r="AI46" s="118">
        <f t="shared" si="39"/>
        <v>10997730.965595324</v>
      </c>
      <c r="AJ46" s="118">
        <f t="shared" si="12"/>
        <v>0.26118002240515015</v>
      </c>
      <c r="AK46" s="118">
        <f t="shared" si="13"/>
        <v>1.7409869333163491E-2</v>
      </c>
      <c r="AL46" s="118">
        <f t="shared" si="14"/>
        <v>95734.529536150265</v>
      </c>
      <c r="AM46" s="118">
        <f>EDisponible!F59</f>
        <v>0.67704834719798312</v>
      </c>
      <c r="AN46" s="118">
        <f t="shared" si="40"/>
        <v>-0.12295165280201692</v>
      </c>
      <c r="AO46" s="118">
        <f>IF(AN46&lt;0, 0, 0.00035*(10*AN46/((1/COS(M$1))-0.8))^(3/(1+1/(DATOS!E$6))))</f>
        <v>0</v>
      </c>
      <c r="AP46" s="118">
        <f t="shared" si="41"/>
        <v>95734.529536150265</v>
      </c>
      <c r="AQ46" s="118">
        <f t="shared" si="42"/>
        <v>9281366.2492031511</v>
      </c>
      <c r="AR46" s="118">
        <f t="shared" si="15"/>
        <v>0.30947896493650467</v>
      </c>
      <c r="AS46" s="118">
        <f t="shared" si="16"/>
        <v>1.9140926213591605E-2</v>
      </c>
      <c r="AT46" s="118">
        <f t="shared" si="17"/>
        <v>88826.97326865849</v>
      </c>
      <c r="AU46" s="118">
        <f>EDisponible!G59</f>
        <v>0.69069777177160163</v>
      </c>
      <c r="AV46" s="118">
        <f t="shared" si="43"/>
        <v>-0.10930222822839841</v>
      </c>
      <c r="AW46" s="118">
        <f>IF(AV46&lt;0, 0, 0.00035*(10*AV46/((1/COS(M$1))-0.8))^(3/(1+1/(DATOS!E$6))))</f>
        <v>0</v>
      </c>
      <c r="AX46" s="118">
        <f t="shared" si="18"/>
        <v>88826.97326865849</v>
      </c>
      <c r="AY46" s="118">
        <f t="shared" si="44"/>
        <v>7777863.9050298454</v>
      </c>
      <c r="AZ46" s="118">
        <f t="shared" si="19"/>
        <v>0.36930289023731355</v>
      </c>
      <c r="BA46" s="118">
        <f t="shared" si="20"/>
        <v>2.1691290303993662E-2</v>
      </c>
      <c r="BB46" s="118">
        <f t="shared" si="21"/>
        <v>84355.951954478078</v>
      </c>
      <c r="BC46" s="118">
        <f>EDisponible!H59</f>
        <v>0.70520746860000549</v>
      </c>
      <c r="BD46" s="118">
        <f t="shared" si="45"/>
        <v>-9.4792531399994551E-2</v>
      </c>
      <c r="BE46" s="118">
        <f>IF(BD46&lt;0, 0, 0.00035*(10*BD46/((1/COS(M$1))-0.8))^(3/(1+1/(DATOS!E$6))))</f>
        <v>0</v>
      </c>
      <c r="BF46" s="118">
        <f t="shared" si="22"/>
        <v>84355.951954478078</v>
      </c>
      <c r="BG46" s="118">
        <f t="shared" si="46"/>
        <v>6468195.3471297352</v>
      </c>
      <c r="BH46" s="118">
        <f t="shared" si="23"/>
        <v>0.44407867509360605</v>
      </c>
      <c r="BI46" s="118">
        <f t="shared" si="24"/>
        <v>2.5511193526509768E-2</v>
      </c>
      <c r="BJ46" s="118">
        <f t="shared" si="25"/>
        <v>82505.691633948343</v>
      </c>
      <c r="BK46" s="118">
        <f>EDisponible!I59</f>
        <v>0.72067177498380897</v>
      </c>
      <c r="BL46" s="118">
        <f t="shared" si="47"/>
        <v>-7.9328225016191078E-2</v>
      </c>
      <c r="BM46" s="118">
        <f>IF(BL46&lt;0, 0, 0.00035*(10*BL46/((1/COS(M$1))-0.8))^(3/(1+1/(DATOS!E$6))))</f>
        <v>0</v>
      </c>
      <c r="BN46" s="118">
        <f t="shared" si="26"/>
        <v>82505.691633948343</v>
      </c>
    </row>
    <row r="47" spans="1:66">
      <c r="A47" s="41">
        <f>EDisponible!A60</f>
        <v>220</v>
      </c>
      <c r="B47" s="44"/>
      <c r="C47" s="118">
        <f t="shared" si="0"/>
        <v>21367730.384040508</v>
      </c>
      <c r="D47" s="118">
        <f t="shared" si="1"/>
        <v>0.13442642566032084</v>
      </c>
      <c r="E47" s="118">
        <f t="shared" si="2"/>
        <v>1.4260520929350868E-2</v>
      </c>
      <c r="F47" s="118">
        <f t="shared" si="3"/>
        <v>152357.48317716806</v>
      </c>
      <c r="G47" s="118">
        <f>EDisponible!B60</f>
        <v>0.64420640273188268</v>
      </c>
      <c r="H47" s="118">
        <f t="shared" si="27"/>
        <v>-0.15579359726811737</v>
      </c>
      <c r="I47" s="118">
        <f>IF(H47&lt;0, 0, 0.00035*(10*H47/((1/COS(M$1))-0.8))^(3/(1+1/(DATOS!E$6))))</f>
        <v>0</v>
      </c>
      <c r="J47" s="118">
        <f t="shared" si="28"/>
        <v>152357.48317716806</v>
      </c>
      <c r="K47" s="118">
        <f t="shared" si="29"/>
        <v>18458809.519486047</v>
      </c>
      <c r="L47" s="11">
        <f t="shared" si="4"/>
        <v>0.15561066475970531</v>
      </c>
      <c r="M47" s="118">
        <f t="shared" si="5"/>
        <v>1.4646410875784744E-2</v>
      </c>
      <c r="N47" s="118">
        <f t="shared" si="6"/>
        <v>135177.6542501197</v>
      </c>
      <c r="O47" s="118">
        <f>EDisponible!C60</f>
        <v>0.65538988354506544</v>
      </c>
      <c r="P47" s="118">
        <f t="shared" si="30"/>
        <v>-0.1446101164549346</v>
      </c>
      <c r="Q47" s="118">
        <f>IF(P47&lt;0, 0, 0.00035*(10*P47/((1/COS(M$1))-0.8))^(3/(1+1/(DATOS!E$6))))</f>
        <v>0</v>
      </c>
      <c r="R47" s="118">
        <f t="shared" si="31"/>
        <v>135177.6542501197</v>
      </c>
      <c r="S47" s="118">
        <f t="shared" si="32"/>
        <v>15863011.327602187</v>
      </c>
      <c r="T47" s="118">
        <f t="shared" si="7"/>
        <v>0.18107454887849361</v>
      </c>
      <c r="U47" s="118">
        <f t="shared" si="8"/>
        <v>1.5184861330094203E-2</v>
      </c>
      <c r="V47" s="118">
        <f t="shared" si="9"/>
        <v>120438.81364367637</v>
      </c>
      <c r="W47" s="118">
        <f>EDisponible!D60</f>
        <v>0.66717678531377467</v>
      </c>
      <c r="X47" s="118">
        <f t="shared" si="33"/>
        <v>-0.13282321468622538</v>
      </c>
      <c r="Y47" s="118">
        <f>IF(X47&lt;0, 0, 0.00035*(10*X47/((1/COS(M$1))-0.8))^(3/(1+1/(DATOS!E$6))))</f>
        <v>0</v>
      </c>
      <c r="Z47" s="118">
        <f t="shared" si="34"/>
        <v>120438.81364367637</v>
      </c>
      <c r="AA47" s="118">
        <f t="shared" si="35"/>
        <v>13556171.492266933</v>
      </c>
      <c r="AB47" s="118">
        <f t="shared" si="10"/>
        <v>0.21188781962802278</v>
      </c>
      <c r="AC47" s="118">
        <f t="shared" si="11"/>
        <v>1.5945337864076405E-2</v>
      </c>
      <c r="AD47" s="118">
        <f t="shared" si="36"/>
        <v>108078.86729377853</v>
      </c>
      <c r="AE47" s="118">
        <f>EDisponible!E60</f>
        <v>0.67962340015634604</v>
      </c>
      <c r="AF47" s="118">
        <f t="shared" si="37"/>
        <v>-0.12037659984365401</v>
      </c>
      <c r="AG47" s="118">
        <f>IF(AF47&lt;0, 0, 0.00035*(10*AF47/((1/COS(M$1))-0.8))^(3/(1+1/(DATOS!E$6))))</f>
        <v>0</v>
      </c>
      <c r="AH47" s="118">
        <f t="shared" si="38"/>
        <v>108078.86729377853</v>
      </c>
      <c r="AI47" s="118">
        <f t="shared" si="39"/>
        <v>11515201.270628743</v>
      </c>
      <c r="AJ47" s="118">
        <f t="shared" si="12"/>
        <v>0.24944311024128235</v>
      </c>
      <c r="AK47" s="118">
        <f t="shared" si="13"/>
        <v>1.7033467790312763E-2</v>
      </c>
      <c r="AL47" s="118">
        <f t="shared" si="14"/>
        <v>98071.904971111653</v>
      </c>
      <c r="AM47" s="118">
        <f>EDisponible!F60</f>
        <v>0.69279365759793621</v>
      </c>
      <c r="AN47" s="118">
        <f t="shared" si="40"/>
        <v>-0.10720634240206384</v>
      </c>
      <c r="AO47" s="118">
        <f>IF(AN47&lt;0, 0, 0.00035*(10*AN47/((1/COS(M$1))-0.8))^(3/(1+1/(DATOS!E$6))))</f>
        <v>0</v>
      </c>
      <c r="AP47" s="118">
        <f t="shared" si="41"/>
        <v>98071.904971111653</v>
      </c>
      <c r="AQ47" s="118">
        <f t="shared" si="42"/>
        <v>9718077.3707178477</v>
      </c>
      <c r="AR47" s="118">
        <f t="shared" si="15"/>
        <v>0.29557159409483325</v>
      </c>
      <c r="AS47" s="118">
        <f t="shared" si="16"/>
        <v>1.8612439885441732E-2</v>
      </c>
      <c r="AT47" s="118">
        <f t="shared" si="17"/>
        <v>90438.565432278789</v>
      </c>
      <c r="AU47" s="118">
        <f>EDisponible!G60</f>
        <v>0.70676051065001089</v>
      </c>
      <c r="AV47" s="118">
        <f t="shared" si="43"/>
        <v>-9.3239489349989157E-2</v>
      </c>
      <c r="AW47" s="118">
        <f>IF(AV47&lt;0, 0, 0.00035*(10*AV47/((1/COS(M$1))-0.8))^(3/(1+1/(DATOS!E$6))))</f>
        <v>0</v>
      </c>
      <c r="AX47" s="118">
        <f t="shared" si="18"/>
        <v>90438.565432278789</v>
      </c>
      <c r="AY47" s="118">
        <f t="shared" si="44"/>
        <v>8143831.5414482327</v>
      </c>
      <c r="AZ47" s="118">
        <f t="shared" si="19"/>
        <v>0.35270715085164911</v>
      </c>
      <c r="BA47" s="118">
        <f t="shared" si="20"/>
        <v>2.0938737638388997E-2</v>
      </c>
      <c r="BB47" s="118">
        <f t="shared" si="21"/>
        <v>85260.77600881079</v>
      </c>
      <c r="BC47" s="118">
        <f>EDisponible!H60</f>
        <v>0.7216076422883777</v>
      </c>
      <c r="BD47" s="118">
        <f t="shared" si="45"/>
        <v>-7.839235771162234E-2</v>
      </c>
      <c r="BE47" s="118">
        <f>IF(BD47&lt;0, 0, 0.00035*(10*BD47/((1/COS(M$1))-0.8))^(3/(1+1/(DATOS!E$6))))</f>
        <v>0</v>
      </c>
      <c r="BF47" s="118">
        <f t="shared" si="22"/>
        <v>85260.77600881079</v>
      </c>
      <c r="BG47" s="118">
        <f t="shared" si="46"/>
        <v>6772539.8550801342</v>
      </c>
      <c r="BH47" s="118">
        <f t="shared" si="23"/>
        <v>0.42412266025210615</v>
      </c>
      <c r="BI47" s="118">
        <f t="shared" si="24"/>
        <v>2.4423037121924451E-2</v>
      </c>
      <c r="BJ47" s="118">
        <f t="shared" si="25"/>
        <v>82702.996145167475</v>
      </c>
      <c r="BK47" s="118">
        <f>EDisponible!I60</f>
        <v>0.73743158370436268</v>
      </c>
      <c r="BL47" s="118">
        <f t="shared" si="47"/>
        <v>-6.2568416295637364E-2</v>
      </c>
      <c r="BM47" s="118">
        <f>IF(BL47&lt;0, 0, 0.00035*(10*BL47/((1/COS(M$1))-0.8))^(3/(1+1/(DATOS!E$6))))</f>
        <v>0</v>
      </c>
      <c r="BN47" s="118">
        <f t="shared" si="26"/>
        <v>82702.996145167475</v>
      </c>
    </row>
    <row r="48" spans="1:66">
      <c r="A48" s="41">
        <f>EDisponible!A61</f>
        <v>225</v>
      </c>
      <c r="B48" s="44"/>
      <c r="C48" s="118">
        <f t="shared" si="0"/>
        <v>22350027.906860553</v>
      </c>
      <c r="D48" s="118">
        <f t="shared" si="1"/>
        <v>0.12851830127327463</v>
      </c>
      <c r="E48" s="118">
        <f t="shared" si="2"/>
        <v>1.4162952087272352E-2</v>
      </c>
      <c r="F48" s="118">
        <f t="shared" si="3"/>
        <v>158271.187197033</v>
      </c>
      <c r="G48" s="118">
        <f>EDisponible!B61</f>
        <v>0.65884745733942551</v>
      </c>
      <c r="H48" s="118">
        <f t="shared" si="27"/>
        <v>-0.14115254266057453</v>
      </c>
      <c r="I48" s="118">
        <f>IF(H48&lt;0, 0, 0.00035*(10*H48/((1/COS(M$1))-0.8))^(3/(1+1/(DATOS!E$6))))</f>
        <v>0</v>
      </c>
      <c r="J48" s="118">
        <f t="shared" si="28"/>
        <v>158271.187197033</v>
      </c>
      <c r="K48" s="118">
        <f t="shared" si="29"/>
        <v>19307380.824875645</v>
      </c>
      <c r="L48" s="11">
        <f t="shared" si="4"/>
        <v>0.14877147998755033</v>
      </c>
      <c r="M48" s="118">
        <f t="shared" si="5"/>
        <v>1.4515667237930855E-2</v>
      </c>
      <c r="N48" s="118">
        <f t="shared" si="6"/>
        <v>140129.75764495091</v>
      </c>
      <c r="O48" s="118">
        <f>EDisponible!C61</f>
        <v>0.67028510817108966</v>
      </c>
      <c r="P48" s="118">
        <f t="shared" si="30"/>
        <v>-0.12971489182891038</v>
      </c>
      <c r="Q48" s="118">
        <f>IF(P48&lt;0, 0, 0.00035*(10*P48/((1/COS(M$1))-0.8))^(3/(1+1/(DATOS!E$6))))</f>
        <v>0</v>
      </c>
      <c r="R48" s="118">
        <f t="shared" si="31"/>
        <v>140129.75764495091</v>
      </c>
      <c r="S48" s="118">
        <f t="shared" si="32"/>
        <v>16592251.001236791</v>
      </c>
      <c r="T48" s="118">
        <f t="shared" si="7"/>
        <v>0.17311621068087094</v>
      </c>
      <c r="U48" s="118">
        <f t="shared" si="8"/>
        <v>1.5007827334012666E-2</v>
      </c>
      <c r="V48" s="118">
        <f t="shared" si="9"/>
        <v>124506.81905458026</v>
      </c>
      <c r="W48" s="118">
        <f>EDisponible!D61</f>
        <v>0.68233989407090589</v>
      </c>
      <c r="X48" s="118">
        <f t="shared" si="33"/>
        <v>-0.11766010592909415</v>
      </c>
      <c r="Y48" s="118">
        <f>IF(X48&lt;0, 0, 0.00035*(10*X48/((1/COS(M$1))-0.8))^(3/(1+1/(DATOS!E$6))))</f>
        <v>0</v>
      </c>
      <c r="Z48" s="118">
        <f t="shared" si="34"/>
        <v>124506.81905458026</v>
      </c>
      <c r="AA48" s="118">
        <f t="shared" si="35"/>
        <v>14179363.26024821</v>
      </c>
      <c r="AB48" s="118">
        <f t="shared" si="10"/>
        <v>0.20257521916042082</v>
      </c>
      <c r="AC48" s="118">
        <f t="shared" si="11"/>
        <v>1.5702926021435328E-2</v>
      </c>
      <c r="AD48" s="118">
        <f t="shared" si="36"/>
        <v>111328.74615336784</v>
      </c>
      <c r="AE48" s="118">
        <f>EDisponible!E61</f>
        <v>0.69506938652353578</v>
      </c>
      <c r="AF48" s="118">
        <f t="shared" si="37"/>
        <v>-0.10493061347646426</v>
      </c>
      <c r="AG48" s="118">
        <f>IF(AF48&lt;0, 0, 0.00035*(10*AF48/((1/COS(M$1))-0.8))^(3/(1+1/(DATOS!E$6))))</f>
        <v>0</v>
      </c>
      <c r="AH48" s="118">
        <f t="shared" si="38"/>
        <v>111328.74615336784</v>
      </c>
      <c r="AI48" s="118">
        <f t="shared" si="39"/>
        <v>12044567.444743389</v>
      </c>
      <c r="AJ48" s="118">
        <f t="shared" si="12"/>
        <v>0.23847993156894948</v>
      </c>
      <c r="AK48" s="118">
        <f t="shared" si="13"/>
        <v>1.6697509877312611E-2</v>
      </c>
      <c r="AL48" s="118">
        <f t="shared" si="14"/>
        <v>100557.14193828033</v>
      </c>
      <c r="AM48" s="118">
        <f>EDisponible!F61</f>
        <v>0.70853896799788929</v>
      </c>
      <c r="AN48" s="118">
        <f t="shared" si="40"/>
        <v>-9.1461032002110754E-2</v>
      </c>
      <c r="AO48" s="118">
        <f>IF(AN48&lt;0, 0, 0.00035*(10*AN48/((1/COS(M$1))-0.8))^(3/(1+1/(DATOS!E$6))))</f>
        <v>0</v>
      </c>
      <c r="AP48" s="118">
        <f t="shared" si="41"/>
        <v>100557.14193828033</v>
      </c>
      <c r="AQ48" s="118">
        <f t="shared" si="42"/>
        <v>10164827.828359321</v>
      </c>
      <c r="AR48" s="118">
        <f t="shared" si="15"/>
        <v>0.28258104008276397</v>
      </c>
      <c r="AS48" s="118">
        <f t="shared" si="16"/>
        <v>1.8140738408052318E-2</v>
      </c>
      <c r="AT48" s="118">
        <f t="shared" si="17"/>
        <v>92198.741298578476</v>
      </c>
      <c r="AU48" s="118">
        <f>EDisponible!G61</f>
        <v>0.72282324952842025</v>
      </c>
      <c r="AV48" s="118">
        <f t="shared" si="43"/>
        <v>-7.7176750471579791E-2</v>
      </c>
      <c r="AW48" s="118">
        <f>IF(AV48&lt;0, 0, 0.00035*(10*AV48/((1/COS(M$1))-0.8))^(3/(1+1/(DATOS!E$6))))</f>
        <v>0</v>
      </c>
      <c r="AX48" s="118">
        <f t="shared" si="18"/>
        <v>92198.741298578476</v>
      </c>
      <c r="AY48" s="118">
        <f t="shared" si="44"/>
        <v>8518212.2269796841</v>
      </c>
      <c r="AZ48" s="118">
        <f t="shared" si="19"/>
        <v>0.33720545385125572</v>
      </c>
      <c r="BA48" s="118">
        <f t="shared" si="20"/>
        <v>2.0267045325322405E-2</v>
      </c>
      <c r="BB48" s="118">
        <f t="shared" si="21"/>
        <v>86319.496647456384</v>
      </c>
      <c r="BC48" s="118">
        <f>EDisponible!H61</f>
        <v>0.73800781597675003</v>
      </c>
      <c r="BD48" s="118">
        <f t="shared" si="45"/>
        <v>-6.1992184023250019E-2</v>
      </c>
      <c r="BE48" s="118">
        <f>IF(BD48&lt;0, 0, 0.00035*(10*BD48/((1/COS(M$1))-0.8))^(3/(1+1/(DATOS!E$6))))</f>
        <v>0</v>
      </c>
      <c r="BF48" s="118">
        <f t="shared" si="22"/>
        <v>86319.496647456384</v>
      </c>
      <c r="BG48" s="118">
        <f t="shared" si="46"/>
        <v>7083880.7885006573</v>
      </c>
      <c r="BH48" s="118">
        <f t="shared" si="23"/>
        <v>0.40548220752991482</v>
      </c>
      <c r="BI48" s="118">
        <f t="shared" si="24"/>
        <v>2.3451801053300768E-2</v>
      </c>
      <c r="BJ48" s="118">
        <f t="shared" si="25"/>
        <v>83064.881468608393</v>
      </c>
      <c r="BK48" s="118">
        <f>EDisponible!I61</f>
        <v>0.75419139242491628</v>
      </c>
      <c r="BL48" s="118">
        <f t="shared" si="47"/>
        <v>-4.580860757508376E-2</v>
      </c>
      <c r="BM48" s="118">
        <f>IF(BL48&lt;0, 0, 0.00035*(10*BL48/((1/COS(M$1))-0.8))^(3/(1+1/(DATOS!E$6))))</f>
        <v>0</v>
      </c>
      <c r="BN48" s="118">
        <f t="shared" si="26"/>
        <v>83064.881468608393</v>
      </c>
    </row>
    <row r="49" spans="1:66">
      <c r="A49" s="41">
        <f>EDisponible!A62</f>
        <v>230</v>
      </c>
      <c r="B49" s="44"/>
      <c r="C49" s="118">
        <f t="shared" si="0"/>
        <v>23354399.531317003</v>
      </c>
      <c r="D49" s="118">
        <f t="shared" si="1"/>
        <v>0.12299128548127652</v>
      </c>
      <c r="E49" s="118">
        <f t="shared" si="2"/>
        <v>1.4075646446547085E-2</v>
      </c>
      <c r="F49" s="118">
        <f t="shared" si="3"/>
        <v>164364.13538711154</v>
      </c>
      <c r="G49" s="118">
        <f>EDisponible!B62</f>
        <v>0.67348851194696824</v>
      </c>
      <c r="H49" s="118">
        <f t="shared" si="27"/>
        <v>-0.12651148805303181</v>
      </c>
      <c r="I49" s="118">
        <f>IF(H49&lt;0, 0, 0.00035*(10*H49/((1/COS(M$1))-0.8))^(3/(1+1/(DATOS!E$6))))</f>
        <v>0</v>
      </c>
      <c r="J49" s="118">
        <f t="shared" si="28"/>
        <v>164364.13538711154</v>
      </c>
      <c r="K49" s="118">
        <f t="shared" si="29"/>
        <v>20175021.148363885</v>
      </c>
      <c r="L49" s="11">
        <f t="shared" si="4"/>
        <v>0.14237346265349216</v>
      </c>
      <c r="M49" s="118">
        <f t="shared" si="5"/>
        <v>1.43986764360476E-2</v>
      </c>
      <c r="N49" s="118">
        <f t="shared" si="6"/>
        <v>145246.80080285453</v>
      </c>
      <c r="O49" s="118">
        <f>EDisponible!C62</f>
        <v>0.68518033279711377</v>
      </c>
      <c r="P49" s="118">
        <f t="shared" si="30"/>
        <v>-0.11481966720288628</v>
      </c>
      <c r="Q49" s="118">
        <f>IF(P49&lt;0, 0, 0.00035*(10*P49/((1/COS(M$1))-0.8))^(3/(1+1/(DATOS!E$6))))</f>
        <v>0</v>
      </c>
      <c r="R49" s="118">
        <f t="shared" si="31"/>
        <v>145246.80080285453</v>
      </c>
      <c r="S49" s="118">
        <f t="shared" si="32"/>
        <v>17337878.083267678</v>
      </c>
      <c r="T49" s="118">
        <f t="shared" si="7"/>
        <v>0.16567123186614541</v>
      </c>
      <c r="U49" s="118">
        <f t="shared" si="8"/>
        <v>1.4849415425776473E-2</v>
      </c>
      <c r="V49" s="118">
        <f t="shared" si="9"/>
        <v>128728.67712995343</v>
      </c>
      <c r="W49" s="118">
        <f>EDisponible!D62</f>
        <v>0.69750300282803712</v>
      </c>
      <c r="X49" s="118">
        <f t="shared" si="33"/>
        <v>-0.10249699717196292</v>
      </c>
      <c r="Y49" s="118">
        <f>IF(X49&lt;0, 0, 0.00035*(10*X49/((1/COS(M$1))-0.8))^(3/(1+1/(DATOS!E$6))))</f>
        <v>0</v>
      </c>
      <c r="Z49" s="118">
        <f t="shared" si="34"/>
        <v>128728.67712995343</v>
      </c>
      <c r="AA49" s="118">
        <f t="shared" si="35"/>
        <v>14816559.33762233</v>
      </c>
      <c r="AB49" s="118">
        <f t="shared" si="10"/>
        <v>0.19386333591675428</v>
      </c>
      <c r="AC49" s="118">
        <f t="shared" si="11"/>
        <v>1.5486013318667557E-2</v>
      </c>
      <c r="AD49" s="118">
        <f t="shared" si="36"/>
        <v>114724.71761962379</v>
      </c>
      <c r="AE49" s="118">
        <f>EDisponible!E62</f>
        <v>0.71051537289072542</v>
      </c>
      <c r="AF49" s="118">
        <f t="shared" si="37"/>
        <v>-8.9484627109274628E-2</v>
      </c>
      <c r="AG49" s="118">
        <f>IF(AF49&lt;0, 0, 0.00035*(10*AF49/((1/COS(M$1))-0.8))^(3/(1+1/(DATOS!E$6))))</f>
        <v>0</v>
      </c>
      <c r="AH49" s="118">
        <f t="shared" si="38"/>
        <v>114724.71761962379</v>
      </c>
      <c r="AI49" s="118">
        <f t="shared" si="39"/>
        <v>12585829.487939266</v>
      </c>
      <c r="AJ49" s="118">
        <f t="shared" si="12"/>
        <v>0.22822394207330937</v>
      </c>
      <c r="AK49" s="118">
        <f t="shared" si="13"/>
        <v>1.6396891152867778E-2</v>
      </c>
      <c r="AL49" s="118">
        <f t="shared" si="14"/>
        <v>103184.23809114688</v>
      </c>
      <c r="AM49" s="118">
        <f>EDisponible!F62</f>
        <v>0.72428427839784237</v>
      </c>
      <c r="AN49" s="118">
        <f t="shared" si="40"/>
        <v>-7.5715721602157671E-2</v>
      </c>
      <c r="AO49" s="118">
        <f>IF(AN49&lt;0, 0, 0.00035*(10*AN49/((1/COS(M$1))-0.8))^(3/(1+1/(DATOS!E$6))))</f>
        <v>0</v>
      </c>
      <c r="AP49" s="118">
        <f t="shared" si="41"/>
        <v>103184.23809114688</v>
      </c>
      <c r="AQ49" s="118">
        <f t="shared" si="42"/>
        <v>10621617.622127566</v>
      </c>
      <c r="AR49" s="118">
        <f t="shared" si="15"/>
        <v>0.27042845282022548</v>
      </c>
      <c r="AS49" s="118">
        <f t="shared" si="16"/>
        <v>1.7718654894122748E-2</v>
      </c>
      <c r="AT49" s="118">
        <f t="shared" si="17"/>
        <v>94100.388531905512</v>
      </c>
      <c r="AU49" s="118">
        <f>EDisponible!G62</f>
        <v>0.73888598840682962</v>
      </c>
      <c r="AV49" s="118">
        <f t="shared" si="43"/>
        <v>-6.1114011593170425E-2</v>
      </c>
      <c r="AW49" s="118">
        <f>IF(AV49&lt;0, 0, 0.00035*(10*AV49/((1/COS(M$1))-0.8))^(3/(1+1/(DATOS!E$6))))</f>
        <v>0</v>
      </c>
      <c r="AX49" s="118">
        <f t="shared" si="18"/>
        <v>94100.388531905512</v>
      </c>
      <c r="AY49" s="118">
        <f t="shared" si="44"/>
        <v>8901005.9616242032</v>
      </c>
      <c r="AZ49" s="118">
        <f t="shared" si="19"/>
        <v>0.32270370701738793</v>
      </c>
      <c r="BA49" s="118">
        <f t="shared" si="20"/>
        <v>1.9666007878190186E-2</v>
      </c>
      <c r="BB49" s="118">
        <f t="shared" si="21"/>
        <v>87523.626682559698</v>
      </c>
      <c r="BC49" s="118">
        <f>EDisponible!H62</f>
        <v>0.75440798966512224</v>
      </c>
      <c r="BD49" s="118">
        <f t="shared" si="45"/>
        <v>-4.5592010334877808E-2</v>
      </c>
      <c r="BE49" s="118">
        <f>IF(BD49&lt;0, 0, 0.00035*(10*BD49/((1/COS(M$1))-0.8))^(3/(1+1/(DATOS!E$6))))</f>
        <v>0</v>
      </c>
      <c r="BF49" s="118">
        <f t="shared" si="22"/>
        <v>87523.626682559698</v>
      </c>
      <c r="BG49" s="118">
        <f t="shared" si="46"/>
        <v>7402218.1473913034</v>
      </c>
      <c r="BH49" s="118">
        <f t="shared" si="23"/>
        <v>0.38804417308510281</v>
      </c>
      <c r="BI49" s="118">
        <f t="shared" si="24"/>
        <v>2.2582728658258437E-2</v>
      </c>
      <c r="BJ49" s="118">
        <f t="shared" si="25"/>
        <v>83581.141945887139</v>
      </c>
      <c r="BK49" s="118">
        <f>EDisponible!I62</f>
        <v>0.77095120114547</v>
      </c>
      <c r="BL49" s="118">
        <f t="shared" si="47"/>
        <v>-2.9048798854530045E-2</v>
      </c>
      <c r="BM49" s="118">
        <f>IF(BL49&lt;0, 0, 0.00035*(10*BL49/((1/COS(M$1))-0.8))^(3/(1+1/(DATOS!E$6))))</f>
        <v>0</v>
      </c>
      <c r="BN49" s="118">
        <f t="shared" si="26"/>
        <v>83581.141945887139</v>
      </c>
    </row>
    <row r="50" spans="1:66">
      <c r="A50" s="41">
        <f>EDisponible!A63</f>
        <v>235</v>
      </c>
      <c r="B50" s="44"/>
      <c r="C50" s="118">
        <f t="shared" si="0"/>
        <v>24380845.257409856</v>
      </c>
      <c r="D50" s="118">
        <f t="shared" si="1"/>
        <v>0.11781329111742017</v>
      </c>
      <c r="E50" s="118">
        <f t="shared" si="2"/>
        <v>1.3997335339250577E-2</v>
      </c>
      <c r="F50" s="118">
        <f t="shared" si="3"/>
        <v>170633.4334611714</v>
      </c>
      <c r="G50" s="118">
        <f>EDisponible!B63</f>
        <v>0.68812956655451107</v>
      </c>
      <c r="H50" s="118">
        <f t="shared" si="27"/>
        <v>-0.11187043344548897</v>
      </c>
      <c r="I50" s="118">
        <f>IF(H50&lt;0, 0, 0.00035*(10*H50/((1/COS(M$1))-0.8))^(3/(1+1/(DATOS!E$6))))</f>
        <v>0</v>
      </c>
      <c r="J50" s="118">
        <f t="shared" si="28"/>
        <v>170633.4334611714</v>
      </c>
      <c r="K50" s="118">
        <f t="shared" si="29"/>
        <v>21061730.489950765</v>
      </c>
      <c r="L50" s="11">
        <f t="shared" si="4"/>
        <v>0.13637946897908076</v>
      </c>
      <c r="M50" s="118">
        <f t="shared" si="5"/>
        <v>1.4293738437049189E-2</v>
      </c>
      <c r="N50" s="118">
        <f t="shared" si="6"/>
        <v>150525.43332749006</v>
      </c>
      <c r="O50" s="118">
        <f>EDisponible!C63</f>
        <v>0.70007555742313798</v>
      </c>
      <c r="P50" s="118">
        <f t="shared" si="30"/>
        <v>-9.992444257686206E-2</v>
      </c>
      <c r="Q50" s="118">
        <f>IF(P50&lt;0, 0, 0.00035*(10*P50/((1/COS(M$1))-0.8))^(3/(1+1/(DATOS!E$6))))</f>
        <v>0</v>
      </c>
      <c r="R50" s="118">
        <f t="shared" si="31"/>
        <v>150525.43332749006</v>
      </c>
      <c r="S50" s="118">
        <f t="shared" si="32"/>
        <v>18099892.573694851</v>
      </c>
      <c r="T50" s="118">
        <f t="shared" si="7"/>
        <v>0.15869639050645706</v>
      </c>
      <c r="U50" s="118">
        <f t="shared" si="8"/>
        <v>1.4707323668132013E-2</v>
      </c>
      <c r="V50" s="118">
        <f t="shared" si="9"/>
        <v>133100.48921987458</v>
      </c>
      <c r="W50" s="118">
        <f>EDisponible!D63</f>
        <v>0.71266611158516835</v>
      </c>
      <c r="X50" s="118">
        <f t="shared" si="33"/>
        <v>-8.7333888414831695E-2</v>
      </c>
      <c r="Y50" s="118">
        <f>IF(X50&lt;0, 0, 0.00035*(10*X50/((1/COS(M$1))-0.8))^(3/(1+1/(DATOS!E$6))))</f>
        <v>0</v>
      </c>
      <c r="Z50" s="118">
        <f t="shared" si="34"/>
        <v>133100.48921987458</v>
      </c>
      <c r="AA50" s="118">
        <f t="shared" si="35"/>
        <v>15467759.724389283</v>
      </c>
      <c r="AB50" s="118">
        <f t="shared" si="10"/>
        <v>0.18570159293791405</v>
      </c>
      <c r="AC50" s="118">
        <f t="shared" si="11"/>
        <v>1.5291447723600509E-2</v>
      </c>
      <c r="AD50" s="118">
        <f t="shared" si="36"/>
        <v>118262.21961335606</v>
      </c>
      <c r="AE50" s="118">
        <f>EDisponible!E63</f>
        <v>0.72596135925791505</v>
      </c>
      <c r="AF50" s="118">
        <f t="shared" si="37"/>
        <v>-7.4038640742084993E-2</v>
      </c>
      <c r="AG50" s="118">
        <f>IF(AF50&lt;0, 0, 0.00035*(10*AF50/((1/COS(M$1))-0.8))^(3/(1+1/(DATOS!E$6))))</f>
        <v>0</v>
      </c>
      <c r="AH50" s="118">
        <f t="shared" si="38"/>
        <v>118262.21961335606</v>
      </c>
      <c r="AI50" s="118">
        <f t="shared" si="39"/>
        <v>13138987.400216369</v>
      </c>
      <c r="AJ50" s="118">
        <f t="shared" si="12"/>
        <v>0.21861560046497178</v>
      </c>
      <c r="AK50" s="118">
        <f t="shared" si="13"/>
        <v>1.612724322416843E-2</v>
      </c>
      <c r="AL50" s="118">
        <f t="shared" si="14"/>
        <v>105947.82276128691</v>
      </c>
      <c r="AM50" s="118">
        <f>EDisponible!F63</f>
        <v>0.74002958879779546</v>
      </c>
      <c r="AN50" s="118">
        <f t="shared" si="40"/>
        <v>-5.9970411202204588E-2</v>
      </c>
      <c r="AO50" s="118">
        <f>IF(AN50&lt;0, 0, 0.00035*(10*AN50/((1/COS(M$1))-0.8))^(3/(1+1/(DATOS!E$6))))</f>
        <v>0</v>
      </c>
      <c r="AP50" s="118">
        <f t="shared" si="41"/>
        <v>105947.82276128691</v>
      </c>
      <c r="AQ50" s="118">
        <f t="shared" si="42"/>
        <v>11088446.752022587</v>
      </c>
      <c r="AR50" s="118">
        <f t="shared" si="15"/>
        <v>0.25904328029316304</v>
      </c>
      <c r="AS50" s="118">
        <f t="shared" si="16"/>
        <v>1.7340055904723678E-2</v>
      </c>
      <c r="AT50" s="118">
        <f t="shared" si="17"/>
        <v>96137.143288311665</v>
      </c>
      <c r="AU50" s="118">
        <f>EDisponible!G63</f>
        <v>0.75494872728523899</v>
      </c>
      <c r="AV50" s="118">
        <f t="shared" si="43"/>
        <v>-4.5051272714761059E-2</v>
      </c>
      <c r="AW50" s="118">
        <f>IF(AV50&lt;0, 0, 0.00035*(10*AV50/((1/COS(M$1))-0.8))^(3/(1+1/(DATOS!E$6))))</f>
        <v>0</v>
      </c>
      <c r="AX50" s="118">
        <f t="shared" si="18"/>
        <v>96137.143288311665</v>
      </c>
      <c r="AY50" s="118">
        <f t="shared" si="44"/>
        <v>9292212.7453817893</v>
      </c>
      <c r="AZ50" s="118">
        <f t="shared" si="19"/>
        <v>0.30911772025748879</v>
      </c>
      <c r="BA50" s="118">
        <f t="shared" si="20"/>
        <v>1.9126891417666152E-2</v>
      </c>
      <c r="BB50" s="118">
        <f t="shared" si="21"/>
        <v>88865.572105385494</v>
      </c>
      <c r="BC50" s="118">
        <f>EDisponible!H63</f>
        <v>0.77080816335349445</v>
      </c>
      <c r="BD50" s="118">
        <f t="shared" si="45"/>
        <v>-2.9191836646505598E-2</v>
      </c>
      <c r="BE50" s="118">
        <f>IF(BD50&lt;0, 0, 0.00035*(10*BD50/((1/COS(M$1))-0.8))^(3/(1+1/(DATOS!E$6))))</f>
        <v>0</v>
      </c>
      <c r="BF50" s="118">
        <f t="shared" si="22"/>
        <v>88865.572105385494</v>
      </c>
      <c r="BG50" s="118">
        <f t="shared" si="46"/>
        <v>7727551.9317520745</v>
      </c>
      <c r="BH50" s="118">
        <f t="shared" si="23"/>
        <v>0.37170732016662633</v>
      </c>
      <c r="BI50" s="118">
        <f t="shared" si="24"/>
        <v>2.180319115058748E-2</v>
      </c>
      <c r="BJ50" s="118">
        <f t="shared" si="25"/>
        <v>84242.645947041005</v>
      </c>
      <c r="BK50" s="118">
        <f>EDisponible!I63</f>
        <v>0.78771100986602371</v>
      </c>
      <c r="BL50" s="118">
        <f t="shared" si="47"/>
        <v>-1.228899013397633E-2</v>
      </c>
      <c r="BM50" s="118">
        <f>IF(BL50&lt;0, 0, 0.00035*(10*BL50/((1/COS(M$1))-0.8))^(3/(1+1/(DATOS!E$6))))</f>
        <v>0</v>
      </c>
      <c r="BN50" s="118">
        <f t="shared" si="26"/>
        <v>84242.645947041005</v>
      </c>
    </row>
    <row r="51" spans="1:66">
      <c r="A51" s="41">
        <f>EDisponible!A64</f>
        <v>240</v>
      </c>
      <c r="B51" s="44"/>
      <c r="C51" s="118">
        <f t="shared" si="0"/>
        <v>25429365.085139118</v>
      </c>
      <c r="D51" s="118">
        <f t="shared" si="1"/>
        <v>0.11295553822846403</v>
      </c>
      <c r="E51" s="118">
        <f t="shared" si="2"/>
        <v>1.3926929347487875E-2</v>
      </c>
      <c r="F51" s="118">
        <f t="shared" si="3"/>
        <v>177076.48544610373</v>
      </c>
      <c r="G51" s="118">
        <f>EDisponible!B64</f>
        <v>0.7027706211620538</v>
      </c>
      <c r="H51" s="118">
        <f t="shared" si="27"/>
        <v>-9.7229378837946245E-2</v>
      </c>
      <c r="I51" s="118">
        <f>IF(H51&lt;0, 0, 0.00035*(10*H51/((1/COS(M$1))-0.8))^(3/(1+1/(DATOS!E$6))))</f>
        <v>0</v>
      </c>
      <c r="J51" s="118">
        <f t="shared" si="28"/>
        <v>177076.48544610373</v>
      </c>
      <c r="K51" s="118">
        <f t="shared" si="29"/>
        <v>21967508.84963629</v>
      </c>
      <c r="L51" s="118">
        <f t="shared" si="4"/>
        <v>0.13075618358280791</v>
      </c>
      <c r="M51" s="118">
        <f t="shared" si="5"/>
        <v>1.4199393405442079E-2</v>
      </c>
      <c r="N51" s="118">
        <f t="shared" si="6"/>
        <v>155962.65014675801</v>
      </c>
      <c r="O51" s="118">
        <f>EDisponible!C64</f>
        <v>0.7149707820491622</v>
      </c>
      <c r="P51" s="118">
        <f t="shared" si="30"/>
        <v>-8.5029217950837843E-2</v>
      </c>
      <c r="Q51" s="118">
        <f>IF(P51&lt;0, 0, 0.00035*(10*P51/((1/COS(M$1))-0.8))^(3/(1+1/(DATOS!E$6))))</f>
        <v>0</v>
      </c>
      <c r="R51" s="118">
        <f t="shared" si="31"/>
        <v>155962.65014675801</v>
      </c>
      <c r="S51" s="118">
        <f t="shared" si="32"/>
        <v>18878294.472518306</v>
      </c>
      <c r="T51" s="118">
        <f t="shared" si="7"/>
        <v>0.15215291954373422</v>
      </c>
      <c r="U51" s="118">
        <f t="shared" si="8"/>
        <v>1.4579575364428615E-2</v>
      </c>
      <c r="V51" s="118">
        <f t="shared" si="9"/>
        <v>137618.7585069784</v>
      </c>
      <c r="W51" s="118">
        <f>EDisponible!D64</f>
        <v>0.72782922034229958</v>
      </c>
      <c r="X51" s="118">
        <f t="shared" si="33"/>
        <v>-7.2170779657700468E-2</v>
      </c>
      <c r="Y51" s="118">
        <f>IF(X51&lt;0, 0, 0.00035*(10*X51/((1/COS(M$1))-0.8))^(3/(1+1/(DATOS!E$6))))</f>
        <v>0</v>
      </c>
      <c r="Z51" s="118">
        <f t="shared" si="34"/>
        <v>137618.7585069784</v>
      </c>
      <c r="AA51" s="118">
        <f t="shared" si="35"/>
        <v>16132964.420549076</v>
      </c>
      <c r="AB51" s="118">
        <f t="shared" si="10"/>
        <v>0.17804462621521358</v>
      </c>
      <c r="AC51" s="118">
        <f t="shared" si="11"/>
        <v>1.5116522554534394E-2</v>
      </c>
      <c r="AD51" s="118">
        <f t="shared" si="36"/>
        <v>121937.16026736551</v>
      </c>
      <c r="AE51" s="118">
        <f>EDisponible!E64</f>
        <v>0.7414073456251048</v>
      </c>
      <c r="AF51" s="118">
        <f t="shared" si="37"/>
        <v>-5.8592654374895248E-2</v>
      </c>
      <c r="AG51" s="118">
        <f>IF(AF51&lt;0, 0, 0.00035*(10*AF51/((1/COS(M$1))-0.8))^(3/(1+1/(DATOS!E$6))))</f>
        <v>0</v>
      </c>
      <c r="AH51" s="118">
        <f t="shared" si="38"/>
        <v>121937.16026736551</v>
      </c>
      <c r="AI51" s="118">
        <f t="shared" si="39"/>
        <v>13704041.181574702</v>
      </c>
      <c r="AJ51" s="118">
        <f t="shared" si="12"/>
        <v>0.20960150235552197</v>
      </c>
      <c r="AK51" s="118">
        <f t="shared" si="13"/>
        <v>1.5884814908412988E-2</v>
      </c>
      <c r="AL51" s="118">
        <f t="shared" si="14"/>
        <v>108843.07883329169</v>
      </c>
      <c r="AM51" s="118">
        <f>EDisponible!F64</f>
        <v>0.75577489919774854</v>
      </c>
      <c r="AN51" s="118">
        <f t="shared" si="40"/>
        <v>-4.4225100802251505E-2</v>
      </c>
      <c r="AO51" s="118">
        <f>IF(AN51&lt;0, 0, 0.00035*(10*AN51/((1/COS(M$1))-0.8))^(3/(1+1/(DATOS!E$6))))</f>
        <v>0</v>
      </c>
      <c r="AP51" s="118">
        <f t="shared" si="41"/>
        <v>108843.07883329169</v>
      </c>
      <c r="AQ51" s="118">
        <f t="shared" si="42"/>
        <v>11565315.218044382</v>
      </c>
      <c r="AR51" s="118">
        <f t="shared" si="15"/>
        <v>0.24836224226024181</v>
      </c>
      <c r="AS51" s="118">
        <f t="shared" si="16"/>
        <v>1.6999674594214649E-2</v>
      </c>
      <c r="AT51" s="118">
        <f t="shared" si="17"/>
        <v>98303.297643136568</v>
      </c>
      <c r="AU51" s="118">
        <f>EDisponible!G64</f>
        <v>0.77101146616364824</v>
      </c>
      <c r="AV51" s="118">
        <f t="shared" si="43"/>
        <v>-2.8988533836351804E-2</v>
      </c>
      <c r="AW51" s="118">
        <f>IF(AV51&lt;0, 0, 0.00035*(10*AV51/((1/COS(M$1))-0.8))^(3/(1+1/(DATOS!E$6))))</f>
        <v>0</v>
      </c>
      <c r="AX51" s="118">
        <f t="shared" si="18"/>
        <v>98303.297643136568</v>
      </c>
      <c r="AY51" s="118">
        <f t="shared" si="44"/>
        <v>9691832.5782524422</v>
      </c>
      <c r="AZ51" s="118">
        <f t="shared" si="19"/>
        <v>0.29637198092395517</v>
      </c>
      <c r="BA51" s="118">
        <f t="shared" si="20"/>
        <v>1.8642196073810565E-2</v>
      </c>
      <c r="BB51" s="118">
        <f t="shared" si="21"/>
        <v>90338.521619163497</v>
      </c>
      <c r="BC51" s="118">
        <f>EDisponible!H64</f>
        <v>0.78720833704186666</v>
      </c>
      <c r="BD51" s="118">
        <f t="shared" si="45"/>
        <v>-1.2791662958133387E-2</v>
      </c>
      <c r="BE51" s="118">
        <f>IF(BD51&lt;0, 0, 0.00035*(10*BD51/((1/COS(M$1))-0.8))^(3/(1+1/(DATOS!E$6))))</f>
        <v>0</v>
      </c>
      <c r="BF51" s="118">
        <f t="shared" si="22"/>
        <v>90338.521619163497</v>
      </c>
      <c r="BG51" s="118">
        <f t="shared" si="46"/>
        <v>8059882.1415829686</v>
      </c>
      <c r="BH51" s="118">
        <f t="shared" si="23"/>
        <v>0.35638084646183926</v>
      </c>
      <c r="BI51" s="118">
        <f t="shared" si="24"/>
        <v>2.1102344064669099E-2</v>
      </c>
      <c r="BJ51" s="118">
        <f t="shared" si="25"/>
        <v>85041.203036182909</v>
      </c>
      <c r="BK51" s="118">
        <f>EDisponible!I64</f>
        <v>0.80447081858657743</v>
      </c>
      <c r="BL51" s="118">
        <f t="shared" si="47"/>
        <v>4.4708185865773853E-3</v>
      </c>
      <c r="BM51" s="118">
        <f>IF(BL51&lt;0, 0, 0.00035*(10*BL51/((1/COS(M$1))-0.8))^(3/(1+1/(DATOS!E$6))))</f>
        <v>6.1418034301039777E-6</v>
      </c>
      <c r="BN51" s="118">
        <f t="shared" si="26"/>
        <v>85065.954142074625</v>
      </c>
    </row>
    <row r="52" spans="1:66">
      <c r="A52" s="41">
        <f>EDisponible!A65</f>
        <v>245</v>
      </c>
      <c r="B52" s="44"/>
      <c r="C52" s="118">
        <f t="shared" si="0"/>
        <v>26499959.014504787</v>
      </c>
      <c r="D52" s="118">
        <f t="shared" si="1"/>
        <v>0.10839215330211624</v>
      </c>
      <c r="E52" s="118">
        <f t="shared" si="2"/>
        <v>1.386348993456054E-2</v>
      </c>
      <c r="F52" s="118">
        <f t="shared" si="3"/>
        <v>183690.95753192698</v>
      </c>
      <c r="G52" s="118">
        <f>EDisponible!B65</f>
        <v>0.71741167576959664</v>
      </c>
      <c r="H52" s="118">
        <f t="shared" si="27"/>
        <v>-8.2588324230403409E-2</v>
      </c>
      <c r="I52" s="118">
        <f>IF(H52&lt;0, 0, 0.00035*(10*H52/((1/COS(M$1))-0.8))^(3/(1+1/(DATOS!E$6))))</f>
        <v>0</v>
      </c>
      <c r="J52" s="118">
        <f t="shared" si="28"/>
        <v>183690.95753192698</v>
      </c>
      <c r="K52" s="118">
        <f t="shared" si="29"/>
        <v>22892356.227420457</v>
      </c>
      <c r="L52" s="11">
        <f t="shared" si="4"/>
        <v>0.12547365554968323</v>
      </c>
      <c r="M52" s="118">
        <f t="shared" si="5"/>
        <v>1.4114383688684755E-2</v>
      </c>
      <c r="N52" s="118">
        <f t="shared" si="6"/>
        <v>161555.74966593209</v>
      </c>
      <c r="O52" s="118">
        <f>EDisponible!C65</f>
        <v>0.72986600667518642</v>
      </c>
      <c r="P52" s="118">
        <f t="shared" si="30"/>
        <v>-7.0133993324813626E-2</v>
      </c>
      <c r="Q52" s="118">
        <f>IF(P52&lt;0, 0, 0.00035*(10*P52/((1/COS(M$1))-0.8))^(3/(1+1/(DATOS!E$6))))</f>
        <v>0</v>
      </c>
      <c r="R52" s="118">
        <f t="shared" si="31"/>
        <v>161555.74966593209</v>
      </c>
      <c r="S52" s="118">
        <f t="shared" si="32"/>
        <v>19673083.779738046</v>
      </c>
      <c r="T52" s="118">
        <f t="shared" si="7"/>
        <v>0.14600596694242549</v>
      </c>
      <c r="U52" s="118">
        <f t="shared" si="8"/>
        <v>1.4464467584728255E-2</v>
      </c>
      <c r="V52" s="118">
        <f t="shared" si="9"/>
        <v>142280.3413118321</v>
      </c>
      <c r="W52" s="118">
        <f>EDisponible!D65</f>
        <v>0.7429923290994308</v>
      </c>
      <c r="X52" s="118">
        <f t="shared" si="33"/>
        <v>-5.7007670900569241E-2</v>
      </c>
      <c r="Y52" s="118">
        <f>IF(X52&lt;0, 0, 0.00035*(10*X52/((1/COS(M$1))-0.8))^(3/(1+1/(DATOS!E$6))))</f>
        <v>0</v>
      </c>
      <c r="Z52" s="118">
        <f t="shared" si="34"/>
        <v>142280.3413118321</v>
      </c>
      <c r="AA52" s="118">
        <f t="shared" si="35"/>
        <v>16812173.426101707</v>
      </c>
      <c r="AB52" s="118">
        <f t="shared" si="10"/>
        <v>0.17085165297786425</v>
      </c>
      <c r="AC52" s="118">
        <f t="shared" si="11"/>
        <v>1.495890599727928E-2</v>
      </c>
      <c r="AD52" s="118">
        <f t="shared" si="36"/>
        <v>125745.86094550608</v>
      </c>
      <c r="AE52" s="118">
        <f>EDisponible!E65</f>
        <v>0.75685333199229443</v>
      </c>
      <c r="AF52" s="118">
        <f t="shared" si="37"/>
        <v>-4.3146668007705613E-2</v>
      </c>
      <c r="AG52" s="118">
        <f>IF(AF52&lt;0, 0, 0.00035*(10*AF52/((1/COS(M$1))-0.8))^(3/(1+1/(DATOS!E$6))))</f>
        <v>0</v>
      </c>
      <c r="AH52" s="118">
        <f t="shared" si="38"/>
        <v>125745.86094550608</v>
      </c>
      <c r="AI52" s="118">
        <f t="shared" si="39"/>
        <v>14280990.832014261</v>
      </c>
      <c r="AJ52" s="118">
        <f t="shared" si="12"/>
        <v>0.20113363657939304</v>
      </c>
      <c r="AK52" s="118">
        <f t="shared" si="13"/>
        <v>1.5666374550661572E-2</v>
      </c>
      <c r="AL52" s="118">
        <f t="shared" si="14"/>
        <v>111865.67566444972</v>
      </c>
      <c r="AM52" s="118">
        <f>EDisponible!F65</f>
        <v>0.77152020959770162</v>
      </c>
      <c r="AN52" s="118">
        <f t="shared" si="40"/>
        <v>-2.8479790402298422E-2</v>
      </c>
      <c r="AO52" s="118">
        <f>IF(AN52&lt;0, 0, 0.00035*(10*AN52/((1/COS(M$1))-0.8))^(3/(1+1/(DATOS!E$6))))</f>
        <v>0</v>
      </c>
      <c r="AP52" s="118">
        <f t="shared" si="41"/>
        <v>111865.67566444972</v>
      </c>
      <c r="AQ52" s="118">
        <f t="shared" si="42"/>
        <v>12052223.020192953</v>
      </c>
      <c r="AR52" s="118">
        <f t="shared" si="15"/>
        <v>0.23832844904939487</v>
      </c>
      <c r="AS52" s="118">
        <f t="shared" si="16"/>
        <v>1.6692973559693194E-2</v>
      </c>
      <c r="AT52" s="118">
        <f t="shared" si="17"/>
        <v>100593.72010580331</v>
      </c>
      <c r="AU52" s="118">
        <f>EDisponible!G65</f>
        <v>0.78707420504205761</v>
      </c>
      <c r="AV52" s="118">
        <f t="shared" si="43"/>
        <v>-1.2925794957942438E-2</v>
      </c>
      <c r="AW52" s="118">
        <f>IF(AV52&lt;0, 0, 0.00035*(10*AV52/((1/COS(M$1))-0.8))^(3/(1+1/(DATOS!E$6))))</f>
        <v>0</v>
      </c>
      <c r="AX52" s="118">
        <f t="shared" si="18"/>
        <v>100593.72010580331</v>
      </c>
      <c r="AY52" s="118">
        <f t="shared" si="44"/>
        <v>10099865.46023616</v>
      </c>
      <c r="AZ52" s="118">
        <f t="shared" si="19"/>
        <v>0.28439860226938474</v>
      </c>
      <c r="BA52" s="118">
        <f t="shared" si="20"/>
        <v>1.8205460686764995E-2</v>
      </c>
      <c r="BB52" s="118">
        <f t="shared" si="21"/>
        <v>91936.351788972534</v>
      </c>
      <c r="BC52" s="118">
        <f>EDisponible!H65</f>
        <v>0.80360851073023887</v>
      </c>
      <c r="BD52" s="118">
        <f t="shared" si="45"/>
        <v>3.6085107302388231E-3</v>
      </c>
      <c r="BE52" s="118">
        <f>IF(BD52&lt;0, 0, 0.00035*(10*BD52/((1/COS(M$1))-0.8))^(3/(1+1/(DATOS!E$6))))</f>
        <v>3.5067977040557341E-6</v>
      </c>
      <c r="BF52" s="118">
        <f t="shared" si="22"/>
        <v>91954.060881476151</v>
      </c>
      <c r="BG52" s="118">
        <f t="shared" si="46"/>
        <v>8399208.7768839877</v>
      </c>
      <c r="BH52" s="118">
        <f t="shared" si="23"/>
        <v>0.34198311963685035</v>
      </c>
      <c r="BI52" s="118">
        <f t="shared" si="24"/>
        <v>2.0470844861698579E-2</v>
      </c>
      <c r="BJ52" s="118">
        <f t="shared" si="25"/>
        <v>85969.449916304598</v>
      </c>
      <c r="BK52" s="118">
        <f>EDisponible!I65</f>
        <v>0.82123062730713114</v>
      </c>
      <c r="BL52" s="118">
        <f t="shared" si="47"/>
        <v>2.12306273071311E-2</v>
      </c>
      <c r="BM52" s="118">
        <f>IF(BL52&lt;0, 0, 0.00035*(10*BL52/((1/COS(M$1))-0.8))^(3/(1+1/(DATOS!E$6))))</f>
        <v>3.6124495920355159E-4</v>
      </c>
      <c r="BN52" s="118">
        <f t="shared" si="26"/>
        <v>87486.535832278372</v>
      </c>
    </row>
    <row r="53" spans="1:66">
      <c r="A53" s="41">
        <f>EDisponible!A66</f>
        <v>250</v>
      </c>
      <c r="B53" s="44"/>
      <c r="C53" s="118">
        <f t="shared" si="0"/>
        <v>27592627.045506854</v>
      </c>
      <c r="D53" s="118">
        <f t="shared" si="1"/>
        <v>0.10409982403135246</v>
      </c>
      <c r="E53" s="118">
        <f t="shared" si="2"/>
        <v>1.3806206028670925E-2</v>
      </c>
      <c r="F53" s="118">
        <f t="shared" si="3"/>
        <v>190474.74693127256</v>
      </c>
      <c r="G53" s="118">
        <f>EDisponible!B66</f>
        <v>0.73205273037713947</v>
      </c>
      <c r="H53" s="118">
        <f t="shared" si="27"/>
        <v>-6.7947269622860573E-2</v>
      </c>
      <c r="I53" s="118">
        <f>IF(H53&lt;0, 0, 0.00035*(10*H53/((1/COS(M$1))-0.8))^(3/(1+1/(DATOS!E$6))))</f>
        <v>0</v>
      </c>
      <c r="J53" s="118">
        <f t="shared" si="28"/>
        <v>190474.74693127256</v>
      </c>
      <c r="K53" s="118">
        <f t="shared" si="29"/>
        <v>23836272.623303264</v>
      </c>
      <c r="L53" s="11">
        <f t="shared" si="4"/>
        <v>0.12050489878991577</v>
      </c>
      <c r="M53" s="118">
        <f t="shared" si="5"/>
        <v>1.4037622439017969E-2</v>
      </c>
      <c r="N53" s="118">
        <f t="shared" si="6"/>
        <v>167302.2977197158</v>
      </c>
      <c r="O53" s="118">
        <f>EDisponible!C66</f>
        <v>0.74476123130121064</v>
      </c>
      <c r="P53" s="118">
        <f t="shared" si="30"/>
        <v>-5.5238768698789409E-2</v>
      </c>
      <c r="Q53" s="118">
        <f>IF(P53&lt;0, 0, 0.00035*(10*P53/((1/COS(M$1))-0.8))^(3/(1+1/(DATOS!E$6))))</f>
        <v>0</v>
      </c>
      <c r="R53" s="118">
        <f t="shared" si="31"/>
        <v>167302.2977197158</v>
      </c>
      <c r="S53" s="118">
        <f t="shared" si="32"/>
        <v>20484260.495354064</v>
      </c>
      <c r="T53" s="118">
        <f t="shared" si="7"/>
        <v>0.14022413065150546</v>
      </c>
      <c r="U53" s="118">
        <f t="shared" si="8"/>
        <v>1.4360528678057245E-2</v>
      </c>
      <c r="V53" s="118">
        <f t="shared" si="9"/>
        <v>147082.40514616357</v>
      </c>
      <c r="W53" s="118">
        <f>EDisponible!D66</f>
        <v>0.75815543785656203</v>
      </c>
      <c r="X53" s="118">
        <f t="shared" si="33"/>
        <v>-4.1844562143438013E-2</v>
      </c>
      <c r="Y53" s="118">
        <f>IF(X53&lt;0, 0, 0.00035*(10*X53/((1/COS(M$1))-0.8))^(3/(1+1/(DATOS!E$6))))</f>
        <v>0</v>
      </c>
      <c r="Z53" s="118">
        <f t="shared" si="34"/>
        <v>147082.40514616357</v>
      </c>
      <c r="AA53" s="118">
        <f t="shared" si="35"/>
        <v>17505386.741047177</v>
      </c>
      <c r="AB53" s="118">
        <f t="shared" si="10"/>
        <v>0.16408592751994081</v>
      </c>
      <c r="AC53" s="118">
        <f t="shared" si="11"/>
        <v>1.4816582926875254E-2</v>
      </c>
      <c r="AD53" s="118">
        <f t="shared" si="36"/>
        <v>129685.00715787402</v>
      </c>
      <c r="AE53" s="118">
        <f>EDisponible!E66</f>
        <v>0.77229931835948418</v>
      </c>
      <c r="AF53" s="118">
        <f t="shared" si="37"/>
        <v>-2.7700681640515867E-2</v>
      </c>
      <c r="AG53" s="118">
        <f>IF(AF53&lt;0, 0, 0.00035*(10*AF53/((1/COS(M$1))-0.8))^(3/(1+1/(DATOS!E$6))))</f>
        <v>0</v>
      </c>
      <c r="AH53" s="118">
        <f t="shared" si="38"/>
        <v>129685.00715787402</v>
      </c>
      <c r="AI53" s="118">
        <f t="shared" si="39"/>
        <v>14869836.35153505</v>
      </c>
      <c r="AJ53" s="118">
        <f t="shared" si="12"/>
        <v>0.19316874457084907</v>
      </c>
      <c r="AK53" s="118">
        <f t="shared" si="13"/>
        <v>1.5469129394716339E-2</v>
      </c>
      <c r="AL53" s="118">
        <f t="shared" si="14"/>
        <v>115011.7113000762</v>
      </c>
      <c r="AM53" s="118">
        <f>EDisponible!F66</f>
        <v>0.78726551999765471</v>
      </c>
      <c r="AN53" s="118">
        <f t="shared" si="40"/>
        <v>-1.2734480002345339E-2</v>
      </c>
      <c r="AO53" s="118">
        <f>IF(AN53&lt;0, 0, 0.00035*(10*AN53/((1/COS(M$1))-0.8))^(3/(1+1/(DATOS!E$6))))</f>
        <v>0</v>
      </c>
      <c r="AP53" s="118">
        <f t="shared" si="41"/>
        <v>115011.7113000762</v>
      </c>
      <c r="AQ53" s="118">
        <f t="shared" si="42"/>
        <v>12549170.158468299</v>
      </c>
      <c r="AR53" s="118">
        <f t="shared" si="15"/>
        <v>0.2288906424670388</v>
      </c>
      <c r="AS53" s="118">
        <f t="shared" si="16"/>
        <v>1.641603163373466E-2</v>
      </c>
      <c r="AT53" s="118">
        <f t="shared" si="17"/>
        <v>103003.78714926729</v>
      </c>
      <c r="AU53" s="118">
        <f>EDisponible!G66</f>
        <v>0.80313694392046697</v>
      </c>
      <c r="AV53" s="118">
        <f t="shared" si="43"/>
        <v>3.136943920466928E-3</v>
      </c>
      <c r="AW53" s="118">
        <f>IF(AV53&lt;0, 0, 0.00035*(10*AV53/((1/COS(M$1))-0.8))^(3/(1+1/(DATOS!E$6))))</f>
        <v>2.4313067840566402E-6</v>
      </c>
      <c r="AX53" s="118">
        <f t="shared" si="18"/>
        <v>103019.04259053757</v>
      </c>
      <c r="AY53" s="118">
        <f t="shared" si="44"/>
        <v>10516311.391332945</v>
      </c>
      <c r="AZ53" s="118">
        <f t="shared" si="19"/>
        <v>0.27313641761951707</v>
      </c>
      <c r="BA53" s="118">
        <f t="shared" si="20"/>
        <v>1.7811101602155561E-2</v>
      </c>
      <c r="BB53" s="118">
        <f t="shared" si="21"/>
        <v>93653.545335468501</v>
      </c>
      <c r="BC53" s="118">
        <f>EDisponible!H66</f>
        <v>0.82000868441861108</v>
      </c>
      <c r="BD53" s="118">
        <f t="shared" si="45"/>
        <v>2.0008684418611034E-2</v>
      </c>
      <c r="BE53" s="118">
        <f>IF(BD53&lt;0, 0, 0.00035*(10*BD53/((1/COS(M$1))-0.8))^(3/(1+1/(DATOS!E$6))))</f>
        <v>3.0936456688111422E-4</v>
      </c>
      <c r="BF53" s="118">
        <f t="shared" si="22"/>
        <v>95280.232394851817</v>
      </c>
      <c r="BG53" s="118">
        <f t="shared" si="46"/>
        <v>8745531.8376551326</v>
      </c>
      <c r="BH53" s="118">
        <f t="shared" si="23"/>
        <v>0.32844058809923099</v>
      </c>
      <c r="BI53" s="118">
        <f t="shared" si="24"/>
        <v>1.9900619835282168E-2</v>
      </c>
      <c r="BJ53" s="118">
        <f t="shared" si="25"/>
        <v>87020.752179265721</v>
      </c>
      <c r="BK53" s="118">
        <f>EDisponible!I66</f>
        <v>0.83799043602768486</v>
      </c>
      <c r="BL53" s="118">
        <f t="shared" si="47"/>
        <v>3.7990436027684815E-2</v>
      </c>
      <c r="BM53" s="118">
        <f>IF(BL53&lt;0, 0, 0.00035*(10*BL53/((1/COS(M$1))-0.8))^(3/(1+1/(DATOS!E$6))))</f>
        <v>1.6547768560769424E-3</v>
      </c>
      <c r="BN53" s="118">
        <f t="shared" si="26"/>
        <v>94256.704018783596</v>
      </c>
    </row>
    <row r="54" spans="1:66">
      <c r="A54" s="41">
        <f>EDisponible!A67</f>
        <v>255</v>
      </c>
      <c r="B54" s="44"/>
      <c r="C54" s="118">
        <f t="shared" si="0"/>
        <v>28707369.17814533</v>
      </c>
      <c r="D54" s="118">
        <f t="shared" si="1"/>
        <v>0.10005750099130378</v>
      </c>
      <c r="E54" s="118">
        <f t="shared" si="2"/>
        <v>1.3754374616864438E-2</v>
      </c>
      <c r="F54" s="118">
        <f t="shared" si="3"/>
        <v>197425.95497041932</v>
      </c>
      <c r="G54" s="118">
        <f>EDisponible!B67</f>
        <v>0.7466937849846822</v>
      </c>
      <c r="H54" s="118">
        <f t="shared" si="27"/>
        <v>-5.3306215015317848E-2</v>
      </c>
      <c r="I54" s="118">
        <f>IF(H54&lt;0, 0, 0.00035*(10*H54/((1/COS(M$1))-0.8))^(3/(1+1/(DATOS!E$6))))</f>
        <v>0</v>
      </c>
      <c r="J54" s="118">
        <f t="shared" si="28"/>
        <v>197425.95497041932</v>
      </c>
      <c r="K54" s="118">
        <f t="shared" si="29"/>
        <v>24799258.037284717</v>
      </c>
      <c r="L54" s="11">
        <f t="shared" si="4"/>
        <v>0.11582554670311013</v>
      </c>
      <c r="M54" s="118">
        <f t="shared" si="5"/>
        <v>1.396816760907103E-2</v>
      </c>
      <c r="N54" s="118">
        <f t="shared" si="6"/>
        <v>173200.09642269739</v>
      </c>
      <c r="O54" s="118">
        <f>EDisponible!C67</f>
        <v>0.75965645592723485</v>
      </c>
      <c r="P54" s="118">
        <f t="shared" si="30"/>
        <v>-4.0343544072765192E-2</v>
      </c>
      <c r="Q54" s="118">
        <f>IF(P54&lt;0, 0, 0.00035*(10*P54/((1/COS(M$1))-0.8))^(3/(1+1/(DATOS!E$6))))</f>
        <v>0</v>
      </c>
      <c r="R54" s="118">
        <f t="shared" si="31"/>
        <v>173200.09642269739</v>
      </c>
      <c r="S54" s="118">
        <f t="shared" si="32"/>
        <v>21311824.61936637</v>
      </c>
      <c r="T54" s="118">
        <f t="shared" si="7"/>
        <v>0.13477905675846352</v>
      </c>
      <c r="U54" s="118">
        <f t="shared" si="8"/>
        <v>1.4266483061042889E-2</v>
      </c>
      <c r="V54" s="118">
        <f t="shared" si="9"/>
        <v>152022.39246605357</v>
      </c>
      <c r="W54" s="118">
        <f>EDisponible!D67</f>
        <v>0.77331854661369326</v>
      </c>
      <c r="X54" s="118">
        <f t="shared" si="33"/>
        <v>-2.6681453386306786E-2</v>
      </c>
      <c r="Y54" s="118">
        <f>IF(X54&lt;0, 0, 0.00035*(10*X54/((1/COS(M$1))-0.8))^(3/(1+1/(DATOS!E$6))))</f>
        <v>0</v>
      </c>
      <c r="Z54" s="118">
        <f t="shared" si="34"/>
        <v>152022.39246605357</v>
      </c>
      <c r="AA54" s="118">
        <f t="shared" si="35"/>
        <v>18212604.36538548</v>
      </c>
      <c r="AB54" s="118">
        <f t="shared" si="10"/>
        <v>0.15771427097264595</v>
      </c>
      <c r="AC54" s="118">
        <f t="shared" si="11"/>
        <v>1.4687806692833365E-2</v>
      </c>
      <c r="AD54" s="118">
        <f t="shared" si="36"/>
        <v>133751.6061459175</v>
      </c>
      <c r="AE54" s="118">
        <f>EDisponible!E67</f>
        <v>0.78774530472667381</v>
      </c>
      <c r="AF54" s="118">
        <f t="shared" si="37"/>
        <v>-1.2254695273326233E-2</v>
      </c>
      <c r="AG54" s="118">
        <f>IF(AF54&lt;0, 0, 0.00035*(10*AF54/((1/COS(M$1))-0.8))^(3/(1+1/(DATOS!E$6))))</f>
        <v>0</v>
      </c>
      <c r="AH54" s="118">
        <f t="shared" si="38"/>
        <v>133751.6061459175</v>
      </c>
      <c r="AI54" s="118">
        <f t="shared" si="39"/>
        <v>15470577.740137065</v>
      </c>
      <c r="AJ54" s="118">
        <f t="shared" si="12"/>
        <v>0.18566776679243471</v>
      </c>
      <c r="AK54" s="118">
        <f t="shared" si="13"/>
        <v>1.529065876241811E-2</v>
      </c>
      <c r="AL54" s="118">
        <f t="shared" si="14"/>
        <v>118277.66254094869</v>
      </c>
      <c r="AM54" s="118">
        <f>EDisponible!F67</f>
        <v>0.8030108303976079</v>
      </c>
      <c r="AN54" s="118">
        <f t="shared" si="40"/>
        <v>3.0108303976078554E-3</v>
      </c>
      <c r="AO54" s="118">
        <f>IF(AN54&lt;0, 0, 0.00035*(10*AN54/((1/COS(M$1))-0.8))^(3/(1+1/(DATOS!E$6))))</f>
        <v>2.1838982370857471E-6</v>
      </c>
      <c r="AP54" s="118">
        <f t="shared" si="41"/>
        <v>118294.55562467538</v>
      </c>
      <c r="AQ54" s="118">
        <f t="shared" si="42"/>
        <v>13056156.632870417</v>
      </c>
      <c r="AR54" s="118">
        <f t="shared" si="15"/>
        <v>0.22000253985682316</v>
      </c>
      <c r="AS54" s="118">
        <f t="shared" si="16"/>
        <v>1.6165450064829449E-2</v>
      </c>
      <c r="AT54" s="118">
        <f t="shared" si="17"/>
        <v>105529.32404362925</v>
      </c>
      <c r="AU54" s="118">
        <f>EDisponible!G67</f>
        <v>0.81919968279887634</v>
      </c>
      <c r="AV54" s="118">
        <f t="shared" si="43"/>
        <v>1.9199682798876294E-2</v>
      </c>
      <c r="AW54" s="118">
        <f>IF(AV54&lt;0, 0, 0.00035*(10*AV54/((1/COS(M$1))-0.8))^(3/(1+1/(DATOS!E$6))))</f>
        <v>2.7770977012934772E-4</v>
      </c>
      <c r="AX54" s="118">
        <f t="shared" si="18"/>
        <v>107342.23517227285</v>
      </c>
      <c r="AY54" s="118">
        <f t="shared" si="44"/>
        <v>10941170.371542795</v>
      </c>
      <c r="AZ54" s="118">
        <f t="shared" si="19"/>
        <v>0.26253019763506069</v>
      </c>
      <c r="BA54" s="118">
        <f t="shared" si="20"/>
        <v>1.7454279074142057E-2</v>
      </c>
      <c r="BB54" s="118">
        <f t="shared" si="21"/>
        <v>95485.120531321241</v>
      </c>
      <c r="BC54" s="118">
        <f>EDisponible!H67</f>
        <v>0.83640885810698329</v>
      </c>
      <c r="BD54" s="118">
        <f t="shared" si="45"/>
        <v>3.6408858106983244E-2</v>
      </c>
      <c r="BE54" s="118">
        <f>IF(BD54&lt;0, 0, 0.00035*(10*BD54/((1/COS(M$1))-0.8))^(3/(1+1/(DATOS!E$6))))</f>
        <v>1.4806095821393913E-3</v>
      </c>
      <c r="BF54" s="118">
        <f t="shared" si="22"/>
        <v>103584.92137728418</v>
      </c>
      <c r="BG54" s="118">
        <f t="shared" si="46"/>
        <v>9098851.3238963988</v>
      </c>
      <c r="BH54" s="118">
        <f t="shared" si="23"/>
        <v>0.31568683977242507</v>
      </c>
      <c r="BI54" s="118">
        <f t="shared" si="24"/>
        <v>1.9384670936415074E-2</v>
      </c>
      <c r="BJ54" s="118">
        <f t="shared" si="25"/>
        <v>88189.119406548169</v>
      </c>
      <c r="BK54" s="118">
        <f>EDisponible!I67</f>
        <v>0.85475024474823846</v>
      </c>
      <c r="BL54" s="118">
        <f t="shared" si="47"/>
        <v>5.4750244748238419E-2</v>
      </c>
      <c r="BM54" s="118">
        <f>IF(BL54&lt;0, 0, 0.00035*(10*BL54/((1/COS(M$1))-0.8))^(3/(1+1/(DATOS!E$6))))</f>
        <v>4.3035990570864822E-3</v>
      </c>
      <c r="BN54" s="118">
        <f t="shared" si="26"/>
        <v>107768.02339559348</v>
      </c>
    </row>
    <row r="55" spans="1:66">
      <c r="A55" s="41">
        <f>EDisponible!A68</f>
        <v>260</v>
      </c>
      <c r="B55" s="44"/>
      <c r="C55" s="118">
        <f t="shared" si="0"/>
        <v>29844185.412420217</v>
      </c>
      <c r="D55" s="118">
        <f t="shared" si="1"/>
        <v>9.6246139082241527E-2</v>
      </c>
      <c r="E55" s="118">
        <f t="shared" si="2"/>
        <v>1.37073846004277E-2</v>
      </c>
      <c r="F55" s="118">
        <f t="shared" si="3"/>
        <v>204542.86376725894</v>
      </c>
      <c r="G55" s="118">
        <f>EDisponible!B68</f>
        <v>0.76133483959222503</v>
      </c>
      <c r="H55" s="118">
        <f t="shared" si="27"/>
        <v>-3.8665160407775012E-2</v>
      </c>
      <c r="I55" s="118">
        <f>IF(H55&lt;0, 0, 0.00035*(10*H55/((1/COS(M$1))-0.8))^(3/(1+1/(DATOS!E$6))))</f>
        <v>0</v>
      </c>
      <c r="J55" s="118">
        <f t="shared" si="28"/>
        <v>204542.86376725894</v>
      </c>
      <c r="K55" s="118">
        <f t="shared" si="29"/>
        <v>25781312.469364814</v>
      </c>
      <c r="L55" s="11">
        <f t="shared" si="4"/>
        <v>0.11141355287529194</v>
      </c>
      <c r="M55" s="118">
        <f t="shared" si="5"/>
        <v>1.3905200317865407E-2</v>
      </c>
      <c r="N55" s="118">
        <f t="shared" si="6"/>
        <v>179247.15717199951</v>
      </c>
      <c r="O55" s="118">
        <f>EDisponible!C68</f>
        <v>0.77455168055325907</v>
      </c>
      <c r="P55" s="118">
        <f t="shared" si="30"/>
        <v>-2.5448319446740975E-2</v>
      </c>
      <c r="Q55" s="118">
        <f>IF(P55&lt;0, 0, 0.00035*(10*P55/((1/COS(M$1))-0.8))^(3/(1+1/(DATOS!E$6))))</f>
        <v>0</v>
      </c>
      <c r="R55" s="118">
        <f t="shared" si="31"/>
        <v>179247.15717199951</v>
      </c>
      <c r="S55" s="118">
        <f t="shared" si="32"/>
        <v>22155776.151774954</v>
      </c>
      <c r="T55" s="118">
        <f t="shared" si="7"/>
        <v>0.12964509120886231</v>
      </c>
      <c r="U55" s="118">
        <f t="shared" si="8"/>
        <v>1.4181221924305827E-2</v>
      </c>
      <c r="V55" s="118">
        <f t="shared" si="9"/>
        <v>157097.98925678158</v>
      </c>
      <c r="W55" s="118">
        <f>EDisponible!D68</f>
        <v>0.7884816553708246</v>
      </c>
      <c r="X55" s="118">
        <f t="shared" si="33"/>
        <v>-1.1518344629175448E-2</v>
      </c>
      <c r="Y55" s="118">
        <f>IF(X55&lt;0, 0, 0.00035*(10*X55/((1/COS(M$1))-0.8))^(3/(1+1/(DATOS!E$6))))</f>
        <v>0</v>
      </c>
      <c r="Z55" s="118">
        <f t="shared" si="34"/>
        <v>157097.98925678158</v>
      </c>
      <c r="AA55" s="118">
        <f t="shared" si="35"/>
        <v>18933826.299116626</v>
      </c>
      <c r="AB55" s="118">
        <f t="shared" si="10"/>
        <v>0.15170666375734174</v>
      </c>
      <c r="AC55" s="118">
        <f t="shared" si="11"/>
        <v>1.4571059007532375E-2</v>
      </c>
      <c r="AD55" s="118">
        <f t="shared" si="36"/>
        <v>137942.95012139835</v>
      </c>
      <c r="AE55" s="118">
        <f>EDisponible!E68</f>
        <v>0.80319129109386356</v>
      </c>
      <c r="AF55" s="118">
        <f t="shared" si="37"/>
        <v>3.1912910938635131E-3</v>
      </c>
      <c r="AG55" s="118">
        <f>IF(AF55&lt;0, 0, 0.00035*(10*AF55/((1/COS(M$1))-0.8))^(3/(1+1/(DATOS!E$6))))</f>
        <v>2.5430192983873892E-6</v>
      </c>
      <c r="AH55" s="118">
        <f t="shared" si="38"/>
        <v>137967.02466423385</v>
      </c>
      <c r="AI55" s="118">
        <f t="shared" si="39"/>
        <v>16083214.997820308</v>
      </c>
      <c r="AJ55" s="118">
        <f t="shared" si="12"/>
        <v>0.17859536295381756</v>
      </c>
      <c r="AK55" s="118">
        <f t="shared" si="13"/>
        <v>1.512885846308458E-2</v>
      </c>
      <c r="AL55" s="118">
        <f t="shared" si="14"/>
        <v>121660.34166669131</v>
      </c>
      <c r="AM55" s="118">
        <f>EDisponible!F68</f>
        <v>0.81875614079756098</v>
      </c>
      <c r="AN55" s="118">
        <f t="shared" si="40"/>
        <v>1.8756140797560938E-2</v>
      </c>
      <c r="AO55" s="118">
        <f>IF(AN55&lt;0, 0, 0.00035*(10*AN55/((1/COS(M$1))-0.8))^(3/(1+1/(DATOS!E$6))))</f>
        <v>2.6124231022614633E-4</v>
      </c>
      <c r="AP55" s="118">
        <f t="shared" si="41"/>
        <v>123761.1497876385</v>
      </c>
      <c r="AQ55" s="118">
        <f t="shared" si="42"/>
        <v>13573182.44339931</v>
      </c>
      <c r="AR55" s="118">
        <f t="shared" si="15"/>
        <v>0.21162226559452554</v>
      </c>
      <c r="AS55" s="118">
        <f t="shared" si="16"/>
        <v>1.5938274465492869E-2</v>
      </c>
      <c r="AT55" s="118">
        <f t="shared" si="17"/>
        <v>108166.55357655366</v>
      </c>
      <c r="AU55" s="118">
        <f>EDisponible!G68</f>
        <v>0.83526242167728559</v>
      </c>
      <c r="AV55" s="118">
        <f t="shared" si="43"/>
        <v>3.5262421677285549E-2</v>
      </c>
      <c r="AW55" s="118">
        <f>IF(AV55&lt;0, 0, 0.00035*(10*AV55/((1/COS(M$1))-0.8))^(3/(1+1/(DATOS!E$6))))</f>
        <v>1.3617581580657753E-3</v>
      </c>
      <c r="AX55" s="118">
        <f t="shared" si="18"/>
        <v>117408.24953816076</v>
      </c>
      <c r="AY55" s="118">
        <f t="shared" si="44"/>
        <v>11374442.400865713</v>
      </c>
      <c r="AZ55" s="118">
        <f t="shared" si="19"/>
        <v>0.25252997191153576</v>
      </c>
      <c r="BA55" s="118">
        <f t="shared" si="20"/>
        <v>1.7130786121278763E-2</v>
      </c>
      <c r="BB55" s="118">
        <f t="shared" si="21"/>
        <v>97426.570009017523</v>
      </c>
      <c r="BC55" s="118">
        <f>EDisponible!H68</f>
        <v>0.8528090317953555</v>
      </c>
      <c r="BD55" s="118">
        <f t="shared" si="45"/>
        <v>5.2809031795355454E-2</v>
      </c>
      <c r="BE55" s="118">
        <f>IF(BD55&lt;0, 0, 0.00035*(10*BD55/((1/COS(M$1))-0.8))^(3/(1+1/(DATOS!E$6))))</f>
        <v>3.9158691427720769E-3</v>
      </c>
      <c r="BF55" s="118">
        <f t="shared" si="22"/>
        <v>119696.98401591173</v>
      </c>
      <c r="BG55" s="118">
        <f t="shared" si="46"/>
        <v>9459167.2356077898</v>
      </c>
      <c r="BH55" s="118">
        <f t="shared" si="23"/>
        <v>0.30366178633434826</v>
      </c>
      <c r="BI55" s="118">
        <f t="shared" si="24"/>
        <v>1.8916915064188418E-2</v>
      </c>
      <c r="BJ55" s="118">
        <f t="shared" si="25"/>
        <v>89469.13158697325</v>
      </c>
      <c r="BK55" s="118">
        <f>EDisponible!I68</f>
        <v>0.87151005346879218</v>
      </c>
      <c r="BL55" s="118">
        <f t="shared" si="47"/>
        <v>7.1510053468792134E-2</v>
      </c>
      <c r="BM55" s="118">
        <f>IF(BL55&lt;0, 0, 0.00035*(10*BL55/((1/COS(M$1))-0.8))^(3/(1+1/(DATOS!E$6))))</f>
        <v>8.6530024310079081E-3</v>
      </c>
      <c r="BN55" s="118">
        <f t="shared" si="26"/>
        <v>130394.23012948554</v>
      </c>
    </row>
    <row r="56" spans="1:66">
      <c r="A56" s="41">
        <f>EDisponible!A69</f>
        <v>265</v>
      </c>
      <c r="B56" s="44"/>
      <c r="C56" s="118">
        <f t="shared" si="0"/>
        <v>31003075.748331502</v>
      </c>
      <c r="D56" s="118">
        <f t="shared" si="1"/>
        <v>9.2648472794012504E-2</v>
      </c>
      <c r="E56" s="118">
        <f t="shared" si="2"/>
        <v>1.3664703313920789E-2</v>
      </c>
      <c r="F56" s="118">
        <f t="shared" si="3"/>
        <v>211823.91595998136</v>
      </c>
      <c r="G56" s="118">
        <f>EDisponible!B69</f>
        <v>0.77597589419976776</v>
      </c>
      <c r="H56" s="118">
        <f t="shared" si="27"/>
        <v>-2.4024105800232287E-2</v>
      </c>
      <c r="I56" s="118">
        <f>IF(H56&lt;0, 0, 0.00035*(10*H56/((1/COS(M$1))-0.8))^(3/(1+1/(DATOS!E$6))))</f>
        <v>0</v>
      </c>
      <c r="J56" s="118">
        <f t="shared" si="28"/>
        <v>211823.91595998136</v>
      </c>
      <c r="K56" s="118">
        <f t="shared" si="29"/>
        <v>26782435.919543549</v>
      </c>
      <c r="L56" s="11">
        <f t="shared" si="4"/>
        <v>0.10724893092730133</v>
      </c>
      <c r="M56" s="118">
        <f t="shared" si="5"/>
        <v>1.3848006786125973E-2</v>
      </c>
      <c r="N56" s="118">
        <f t="shared" si="6"/>
        <v>185441.67718141153</v>
      </c>
      <c r="O56" s="118">
        <f>EDisponible!C69</f>
        <v>0.78944690517928329</v>
      </c>
      <c r="P56" s="118">
        <f t="shared" si="30"/>
        <v>-1.0553094820716757E-2</v>
      </c>
      <c r="Q56" s="118">
        <f>IF(P56&lt;0, 0, 0.00035*(10*P56/((1/COS(M$1))-0.8))^(3/(1+1/(DATOS!E$6))))</f>
        <v>0</v>
      </c>
      <c r="R56" s="118">
        <f t="shared" si="31"/>
        <v>185441.67718141153</v>
      </c>
      <c r="S56" s="118">
        <f t="shared" si="32"/>
        <v>23016115.092579827</v>
      </c>
      <c r="T56" s="118">
        <f t="shared" si="7"/>
        <v>0.12479897708393152</v>
      </c>
      <c r="U56" s="118">
        <f t="shared" si="8"/>
        <v>1.4103778771889005E-2</v>
      </c>
      <c r="V56" s="118">
        <f t="shared" si="9"/>
        <v>162307.09772704076</v>
      </c>
      <c r="W56" s="118">
        <f>EDisponible!D69</f>
        <v>0.80364476412795582</v>
      </c>
      <c r="X56" s="118">
        <f t="shared" si="33"/>
        <v>3.6447641279557796E-3</v>
      </c>
      <c r="Y56" s="118">
        <f>IF(X56&lt;0, 0, 0.00035*(10*X56/((1/COS(M$1))-0.8))^(3/(1+1/(DATOS!E$6))))</f>
        <v>3.5996909397607062E-6</v>
      </c>
      <c r="Z56" s="118">
        <f t="shared" si="34"/>
        <v>162348.52317752436</v>
      </c>
      <c r="AA56" s="118">
        <f t="shared" si="35"/>
        <v>19669052.542240608</v>
      </c>
      <c r="AB56" s="118">
        <f t="shared" si="10"/>
        <v>0.14603589134918193</v>
      </c>
      <c r="AC56" s="118">
        <f t="shared" si="11"/>
        <v>1.4465016452470525E-2</v>
      </c>
      <c r="AD56" s="118">
        <f t="shared" si="36"/>
        <v>142256.5843140088</v>
      </c>
      <c r="AE56" s="118">
        <f>EDisponible!E69</f>
        <v>0.81863727746105319</v>
      </c>
      <c r="AF56" s="118">
        <f t="shared" si="37"/>
        <v>1.8637277461053148E-2</v>
      </c>
      <c r="AG56" s="118">
        <f>IF(AF56&lt;0, 0, 0.00035*(10*AF56/((1/COS(M$1))-0.8))^(3/(1+1/(DATOS!E$6))))</f>
        <v>2.5693448837286445E-4</v>
      </c>
      <c r="AH56" s="118">
        <f t="shared" si="38"/>
        <v>144783.41328986859</v>
      </c>
      <c r="AI56" s="118">
        <f t="shared" si="39"/>
        <v>16707748.124584783</v>
      </c>
      <c r="AJ56" s="118">
        <f t="shared" si="12"/>
        <v>0.17191949499007569</v>
      </c>
      <c r="AK56" s="118">
        <f t="shared" si="13"/>
        <v>1.4981894374615801E-2</v>
      </c>
      <c r="AL56" s="118">
        <f t="shared" si="14"/>
        <v>125156.85882010723</v>
      </c>
      <c r="AM56" s="118">
        <f>EDisponible!F69</f>
        <v>0.83450145119751407</v>
      </c>
      <c r="AN56" s="118">
        <f t="shared" si="40"/>
        <v>3.4501451197514021E-2</v>
      </c>
      <c r="AO56" s="118">
        <f>IF(AN56&lt;0, 0, 0.00035*(10*AN56/((1/COS(M$1))-0.8))^(3/(1+1/(DATOS!E$6))))</f>
        <v>1.2862334901851289E-3</v>
      </c>
      <c r="AP56" s="118">
        <f t="shared" si="41"/>
        <v>135901.89141181658</v>
      </c>
      <c r="AQ56" s="118">
        <f t="shared" si="42"/>
        <v>14100247.590054978</v>
      </c>
      <c r="AR56" s="118">
        <f t="shared" si="15"/>
        <v>0.20371185694823679</v>
      </c>
      <c r="AS56" s="118">
        <f t="shared" si="16"/>
        <v>1.5731929637848106E-2</v>
      </c>
      <c r="AT56" s="118">
        <f t="shared" si="17"/>
        <v>110912.05148149111</v>
      </c>
      <c r="AU56" s="118">
        <f>EDisponible!G69</f>
        <v>0.85132516055569496</v>
      </c>
      <c r="AV56" s="118">
        <f t="shared" si="43"/>
        <v>5.1325160555694915E-2</v>
      </c>
      <c r="AW56" s="118">
        <f>IF(AV56&lt;0, 0, 0.00035*(10*AV56/((1/COS(M$1))-0.8))^(3/(1+1/(DATOS!E$6))))</f>
        <v>3.634588357973762E-3</v>
      </c>
      <c r="AX56" s="118">
        <f t="shared" si="18"/>
        <v>136536.34934917183</v>
      </c>
      <c r="AY56" s="118">
        <f t="shared" si="44"/>
        <v>11816127.479301697</v>
      </c>
      <c r="AZ56" s="118">
        <f t="shared" si="19"/>
        <v>0.24309043931961294</v>
      </c>
      <c r="BA56" s="118">
        <f t="shared" si="20"/>
        <v>1.6836955719607971E-2</v>
      </c>
      <c r="BB56" s="118">
        <f t="shared" si="21"/>
        <v>99473.807573122816</v>
      </c>
      <c r="BC56" s="118">
        <f>EDisponible!H69</f>
        <v>0.86920920548372771</v>
      </c>
      <c r="BD56" s="118">
        <f t="shared" si="45"/>
        <v>6.9209205483727665E-2</v>
      </c>
      <c r="BE56" s="118">
        <f>IF(BD56&lt;0, 0, 0.00035*(10*BD56/((1/COS(M$1))-0.8))^(3/(1+1/(DATOS!E$6))))</f>
        <v>7.9436461915622942E-3</v>
      </c>
      <c r="BF56" s="118">
        <f t="shared" si="22"/>
        <v>146405.37559810755</v>
      </c>
      <c r="BG56" s="118">
        <f t="shared" si="46"/>
        <v>9826479.5727893058</v>
      </c>
      <c r="BH56" s="118">
        <f t="shared" si="23"/>
        <v>0.29231095416449898</v>
      </c>
      <c r="BI56" s="118">
        <f t="shared" si="24"/>
        <v>1.8492049871287861E-2</v>
      </c>
      <c r="BJ56" s="118">
        <f t="shared" si="25"/>
        <v>90855.875159605639</v>
      </c>
      <c r="BK56" s="118">
        <f>EDisponible!I69</f>
        <v>0.88826986218934589</v>
      </c>
      <c r="BL56" s="118">
        <f t="shared" si="47"/>
        <v>8.8269862189345849E-2</v>
      </c>
      <c r="BM56" s="118">
        <f>IF(BL56&lt;0, 0, 0.00035*(10*BL56/((1/COS(M$1))-0.8))^(3/(1+1/(DATOS!E$6))))</f>
        <v>1.5008302558150124E-2</v>
      </c>
      <c r="BN56" s="118">
        <f t="shared" si="26"/>
        <v>164595.26441455746</v>
      </c>
    </row>
    <row r="57" spans="1:66">
      <c r="A57" s="41">
        <f>EDisponible!A70</f>
        <v>270</v>
      </c>
      <c r="B57" s="44"/>
      <c r="C57" s="118">
        <f t="shared" si="0"/>
        <v>32184040.185879197</v>
      </c>
      <c r="D57" s="118">
        <f t="shared" si="1"/>
        <v>8.9248820328662937E-2</v>
      </c>
      <c r="E57" s="118">
        <f t="shared" si="2"/>
        <v>1.3625865228380794E-2</v>
      </c>
      <c r="F57" s="118">
        <f t="shared" si="3"/>
        <v>219267.69703879076</v>
      </c>
      <c r="G57" s="118">
        <f>EDisponible!B70</f>
        <v>0.79061694880731059</v>
      </c>
      <c r="H57" s="118">
        <f t="shared" si="27"/>
        <v>-9.3830511926894511E-3</v>
      </c>
      <c r="I57" s="118">
        <f>IF(H57&lt;0, 0, 0.00035*(10*H57/((1/COS(M$1))-0.8))^(3/(1+1/(DATOS!E$6))))</f>
        <v>0</v>
      </c>
      <c r="J57" s="118">
        <f t="shared" si="28"/>
        <v>219267.69703879076</v>
      </c>
      <c r="K57" s="118">
        <f t="shared" si="29"/>
        <v>27802628.387820929</v>
      </c>
      <c r="L57" s="11">
        <f t="shared" si="4"/>
        <v>0.10331352776913218</v>
      </c>
      <c r="M57" s="118">
        <f t="shared" si="5"/>
        <v>1.3795963198412866E-2</v>
      </c>
      <c r="N57" s="118">
        <f t="shared" si="6"/>
        <v>191782.01902876317</v>
      </c>
      <c r="O57" s="118">
        <f>EDisponible!C70</f>
        <v>0.8043421298053075</v>
      </c>
      <c r="P57" s="118">
        <f t="shared" si="30"/>
        <v>4.3421298053074597E-3</v>
      </c>
      <c r="Q57" s="118">
        <f>IF(P57&lt;0, 0, 0.00035*(10*P57/((1/COS(M$1))-0.8))^(3/(1+1/(DATOS!E$6))))</f>
        <v>5.6901240188425992E-6</v>
      </c>
      <c r="R57" s="118">
        <f t="shared" si="31"/>
        <v>191861.11923055144</v>
      </c>
      <c r="S57" s="118">
        <f t="shared" si="32"/>
        <v>23892841.441780977</v>
      </c>
      <c r="T57" s="118">
        <f t="shared" si="7"/>
        <v>0.12021959075060483</v>
      </c>
      <c r="U57" s="118">
        <f t="shared" si="8"/>
        <v>1.4033308923760961E-2</v>
      </c>
      <c r="V57" s="118">
        <f t="shared" si="9"/>
        <v>167647.81250947536</v>
      </c>
      <c r="W57" s="118">
        <f>EDisponible!D70</f>
        <v>0.81880787288508705</v>
      </c>
      <c r="X57" s="118">
        <f t="shared" si="33"/>
        <v>1.8807872885087007E-2</v>
      </c>
      <c r="Y57" s="118">
        <f>IF(X57&lt;0, 0, 0.00035*(10*X57/((1/COS(M$1))-0.8))^(3/(1+1/(DATOS!E$6))))</f>
        <v>2.6313100840037447E-4</v>
      </c>
      <c r="Z57" s="118">
        <f t="shared" si="34"/>
        <v>170791.28624053838</v>
      </c>
      <c r="AA57" s="118">
        <f t="shared" si="35"/>
        <v>20418283.094757427</v>
      </c>
      <c r="AB57" s="118">
        <f t="shared" si="10"/>
        <v>0.14067723552806999</v>
      </c>
      <c r="AC57" s="118">
        <f t="shared" si="11"/>
        <v>1.4368522411136859E-2</v>
      </c>
      <c r="AD57" s="118">
        <f t="shared" si="36"/>
        <v>146690.27912197946</v>
      </c>
      <c r="AE57" s="118">
        <f>EDisponible!E70</f>
        <v>0.83408326382824283</v>
      </c>
      <c r="AF57" s="118">
        <f t="shared" si="37"/>
        <v>3.4083263828242782E-2</v>
      </c>
      <c r="AG57" s="118">
        <f>IF(AF57&lt;0, 0, 0.00035*(10*AF57/((1/COS(M$1))-0.8))^(3/(1+1/(DATOS!E$6))))</f>
        <v>1.245857149677063E-3</v>
      </c>
      <c r="AH57" s="118">
        <f t="shared" si="38"/>
        <v>159409.41111084641</v>
      </c>
      <c r="AI57" s="118">
        <f t="shared" si="39"/>
        <v>17344177.120430484</v>
      </c>
      <c r="AJ57" s="118">
        <f t="shared" si="12"/>
        <v>0.16561106358954822</v>
      </c>
      <c r="AK57" s="118">
        <f t="shared" si="13"/>
        <v>1.4848163545336936E-2</v>
      </c>
      <c r="AL57" s="118">
        <f t="shared" si="14"/>
        <v>128764.58922172144</v>
      </c>
      <c r="AM57" s="118">
        <f>EDisponible!F70</f>
        <v>0.85024676159746715</v>
      </c>
      <c r="AN57" s="118">
        <f t="shared" si="40"/>
        <v>5.0246761597467104E-2</v>
      </c>
      <c r="AO57" s="118">
        <f>IF(AN57&lt;0, 0, 0.00035*(10*AN57/((1/COS(M$1))-0.8))^(3/(1+1/(DATOS!E$6))))</f>
        <v>3.4382347615542824E-3</v>
      </c>
      <c r="AP57" s="118">
        <f t="shared" si="41"/>
        <v>158581.26556473071</v>
      </c>
      <c r="AQ57" s="118">
        <f t="shared" si="42"/>
        <v>14637352.072837422</v>
      </c>
      <c r="AR57" s="118">
        <f t="shared" si="15"/>
        <v>0.19623683339080833</v>
      </c>
      <c r="AS57" s="118">
        <f t="shared" si="16"/>
        <v>1.5544164958695206E-2</v>
      </c>
      <c r="AT57" s="118">
        <f t="shared" si="17"/>
        <v>113762.70758934204</v>
      </c>
      <c r="AU57" s="118">
        <f>EDisponible!G70</f>
        <v>0.86738789943410433</v>
      </c>
      <c r="AV57" s="118">
        <f t="shared" si="43"/>
        <v>6.7387899434104281E-2</v>
      </c>
      <c r="AW57" s="118">
        <f>IF(AV57&lt;0, 0, 0.00035*(10*AV57/((1/COS(M$1))-0.8))^(3/(1+1/(DATOS!E$6))))</f>
        <v>7.4084721564541467E-3</v>
      </c>
      <c r="AX57" s="118">
        <f t="shared" si="18"/>
        <v>167982.91522725826</v>
      </c>
      <c r="AY57" s="118">
        <f t="shared" si="44"/>
        <v>12266225.606850745</v>
      </c>
      <c r="AZ57" s="118">
        <f t="shared" si="19"/>
        <v>0.23417045406337203</v>
      </c>
      <c r="BA57" s="118">
        <f t="shared" si="20"/>
        <v>1.6569583032224375E-2</v>
      </c>
      <c r="BB57" s="118">
        <f t="shared" si="21"/>
        <v>101623.12184235512</v>
      </c>
      <c r="BC57" s="118">
        <f>EDisponible!H70</f>
        <v>0.88560937917210003</v>
      </c>
      <c r="BD57" s="118">
        <f t="shared" si="45"/>
        <v>8.5609379172099986E-2</v>
      </c>
      <c r="BE57" s="118">
        <f>IF(BD57&lt;0, 0, 0.00035*(10*BD57/((1/COS(M$1))-0.8))^(3/(1+1/(DATOS!E$6))))</f>
        <v>1.3853842160592085E-2</v>
      </c>
      <c r="BF57" s="118">
        <f t="shared" si="22"/>
        <v>186590.29857411666</v>
      </c>
      <c r="BG57" s="118">
        <f t="shared" si="46"/>
        <v>10200788.335440945</v>
      </c>
      <c r="BH57" s="118">
        <f t="shared" si="23"/>
        <v>0.28158486634021868</v>
      </c>
      <c r="BI57" s="118">
        <f t="shared" si="24"/>
        <v>1.810544131153493E-2</v>
      </c>
      <c r="BJ57" s="118">
        <f t="shared" si="25"/>
        <v>92344.887269358063</v>
      </c>
      <c r="BK57" s="118">
        <f>EDisponible!I70</f>
        <v>0.90502967090989961</v>
      </c>
      <c r="BL57" s="118">
        <f t="shared" si="47"/>
        <v>0.10502967090989956</v>
      </c>
      <c r="BM57" s="118">
        <f>IF(BL57&lt;0, 0, 0.00035*(10*BL57/((1/COS(M$1))-0.8))^(3/(1+1/(DATOS!E$6))))</f>
        <v>2.3647865895431792E-2</v>
      </c>
      <c r="BN57" s="118">
        <f t="shared" si="26"/>
        <v>212958.32456145424</v>
      </c>
    </row>
    <row r="58" spans="1:66">
      <c r="A58" s="41">
        <f>EDisponible!A71</f>
        <v>275</v>
      </c>
      <c r="B58" s="44"/>
      <c r="C58" s="118">
        <f t="shared" si="0"/>
        <v>33387078.725063294</v>
      </c>
      <c r="D58" s="118">
        <f t="shared" si="1"/>
        <v>8.6032912422605329E-2</v>
      </c>
      <c r="E58" s="118">
        <f t="shared" si="2"/>
        <v>1.3590462452483255E-2</v>
      </c>
      <c r="F58" s="118">
        <f t="shared" si="3"/>
        <v>226872.91990553759</v>
      </c>
      <c r="G58" s="118">
        <f>EDisponible!B71</f>
        <v>0.80525800341485332</v>
      </c>
      <c r="H58" s="118">
        <f t="shared" si="27"/>
        <v>5.2580034148532739E-3</v>
      </c>
      <c r="I58" s="118">
        <f>IF(H58&lt;0, 0, 0.00035*(10*H58/((1/COS(M$1))-0.8))^(3/(1+1/(DATOS!E$6))))</f>
        <v>9.3865809869489237E-6</v>
      </c>
      <c r="J58" s="118">
        <f t="shared" si="28"/>
        <v>227029.61516472284</v>
      </c>
      <c r="K58" s="118">
        <f t="shared" si="29"/>
        <v>28841889.874196954</v>
      </c>
      <c r="L58" s="11">
        <f t="shared" si="4"/>
        <v>9.9590825446211367E-2</v>
      </c>
      <c r="M58" s="118">
        <f t="shared" si="5"/>
        <v>1.3748522974542571E-2</v>
      </c>
      <c r="N58" s="118">
        <f t="shared" si="6"/>
        <v>198266.69278231179</v>
      </c>
      <c r="O58" s="118">
        <f>EDisponible!C71</f>
        <v>0.81923735443133172</v>
      </c>
      <c r="P58" s="118">
        <f t="shared" si="30"/>
        <v>1.9237354431331677E-2</v>
      </c>
      <c r="Q58" s="118">
        <f>IF(P58&lt;0, 0, 0.00035*(10*P58/((1/COS(M$1))-0.8))^(3/(1+1/(DATOS!E$6))))</f>
        <v>2.7913713531220257E-4</v>
      </c>
      <c r="R58" s="118">
        <f t="shared" si="31"/>
        <v>202292.11404054848</v>
      </c>
      <c r="S58" s="118">
        <f t="shared" si="32"/>
        <v>24785955.199378416</v>
      </c>
      <c r="T58" s="118">
        <f t="shared" si="7"/>
        <v>0.11588771128223592</v>
      </c>
      <c r="U58" s="118">
        <f t="shared" si="8"/>
        <v>1.3969072280627727E-2</v>
      </c>
      <c r="V58" s="118">
        <f t="shared" si="9"/>
        <v>173118.39986225884</v>
      </c>
      <c r="W58" s="118">
        <f>EDisponible!D71</f>
        <v>0.83397098164221828</v>
      </c>
      <c r="X58" s="118">
        <f t="shared" si="33"/>
        <v>3.3970981642218234E-2</v>
      </c>
      <c r="Y58" s="118">
        <f>IF(X58&lt;0, 0, 0.00035*(10*X58/((1/COS(M$1))-0.8))^(3/(1+1/(DATOS!E$6))))</f>
        <v>1.2351513981397699E-3</v>
      </c>
      <c r="Z58" s="118">
        <f t="shared" si="34"/>
        <v>188425.60347162982</v>
      </c>
      <c r="AA58" s="118">
        <f t="shared" si="35"/>
        <v>21181517.956667081</v>
      </c>
      <c r="AB58" s="118">
        <f t="shared" si="10"/>
        <v>0.13560820456193459</v>
      </c>
      <c r="AC58" s="118">
        <f t="shared" si="11"/>
        <v>1.4280563468946836E-2</v>
      </c>
      <c r="AD58" s="118">
        <f t="shared" si="36"/>
        <v>151242.00577441067</v>
      </c>
      <c r="AE58" s="118">
        <f>EDisponible!E71</f>
        <v>0.84952925019543257</v>
      </c>
      <c r="AF58" s="118">
        <f t="shared" si="37"/>
        <v>4.9529250195432528E-2</v>
      </c>
      <c r="AG58" s="118">
        <f>IF(AF58&lt;0, 0, 0.00035*(10*AF58/((1/COS(M$1))-0.8))^(3/(1+1/(DATOS!E$6))))</f>
        <v>3.3113035060308316E-3</v>
      </c>
      <c r="AH58" s="118">
        <f t="shared" si="38"/>
        <v>186311.223110894</v>
      </c>
      <c r="AI58" s="118">
        <f t="shared" si="39"/>
        <v>17992501.985357411</v>
      </c>
      <c r="AJ58" s="118">
        <f t="shared" si="12"/>
        <v>0.15964359055442071</v>
      </c>
      <c r="AK58" s="118">
        <f t="shared" si="13"/>
        <v>1.4726261486733248E-2</v>
      </c>
      <c r="AL58" s="118">
        <f t="shared" si="14"/>
        <v>132481.14451847019</v>
      </c>
      <c r="AM58" s="118">
        <f>EDisponible!F71</f>
        <v>0.86599207199742023</v>
      </c>
      <c r="AN58" s="118">
        <f t="shared" si="40"/>
        <v>6.5992071997420187E-2</v>
      </c>
      <c r="AO58" s="118">
        <f>IF(AN58&lt;0, 0, 0.00035*(10*AN58/((1/COS(M$1))-0.8))^(3/(1+1/(DATOS!E$6))))</f>
        <v>7.0138165473956418E-3</v>
      </c>
      <c r="AP58" s="118">
        <f t="shared" si="41"/>
        <v>195579.19859544456</v>
      </c>
      <c r="AQ58" s="118">
        <f t="shared" si="42"/>
        <v>15184495.89174664</v>
      </c>
      <c r="AR58" s="118">
        <f t="shared" si="15"/>
        <v>0.18916582022069325</v>
      </c>
      <c r="AS58" s="118">
        <f t="shared" si="16"/>
        <v>1.5373008456898074E-2</v>
      </c>
      <c r="AT58" s="118">
        <f t="shared" si="17"/>
        <v>116715.69187877758</v>
      </c>
      <c r="AU58" s="118">
        <f>EDisponible!G71</f>
        <v>0.88345063831251369</v>
      </c>
      <c r="AV58" s="118">
        <f t="shared" si="43"/>
        <v>8.3450638312513647E-2</v>
      </c>
      <c r="AW58" s="118">
        <f>IF(AV58&lt;0, 0, 0.00035*(10*AV58/((1/COS(M$1))-0.8))^(3/(1+1/(DATOS!E$6))))</f>
        <v>1.29586933761197E-2</v>
      </c>
      <c r="AX58" s="118">
        <f t="shared" si="18"/>
        <v>215101.30504482458</v>
      </c>
      <c r="AY58" s="118">
        <f t="shared" si="44"/>
        <v>12724736.783512861</v>
      </c>
      <c r="AZ58" s="118">
        <f t="shared" si="19"/>
        <v>0.22573257654505549</v>
      </c>
      <c r="BA58" s="118">
        <f t="shared" si="20"/>
        <v>1.6325860016505274E-2</v>
      </c>
      <c r="BB58" s="118">
        <f t="shared" si="21"/>
        <v>103871.13573725327</v>
      </c>
      <c r="BC58" s="118">
        <f>EDisponible!H71</f>
        <v>0.90200955286047224</v>
      </c>
      <c r="BD58" s="118">
        <f t="shared" si="45"/>
        <v>0.1020095528604722</v>
      </c>
      <c r="BE58" s="118">
        <f>IF(BD58&lt;0, 0, 0.00035*(10*BD58/((1/COS(M$1))-0.8))^(3/(1+1/(DATOS!E$6))))</f>
        <v>2.1910485196719405E-2</v>
      </c>
      <c r="BF58" s="118">
        <f t="shared" si="22"/>
        <v>243273.71420090797</v>
      </c>
      <c r="BG58" s="118">
        <f t="shared" si="46"/>
        <v>10582093.523562709</v>
      </c>
      <c r="BH58" s="118">
        <f t="shared" si="23"/>
        <v>0.27143850256134799</v>
      </c>
      <c r="BI58" s="118">
        <f t="shared" si="24"/>
        <v>1.7753029084961396E-2</v>
      </c>
      <c r="BJ58" s="118">
        <f t="shared" si="25"/>
        <v>93932.107051795188</v>
      </c>
      <c r="BK58" s="118">
        <f>EDisponible!I71</f>
        <v>0.92178947963045332</v>
      </c>
      <c r="BL58" s="118">
        <f t="shared" si="47"/>
        <v>0.12178947963045328</v>
      </c>
      <c r="BM58" s="118">
        <f>IF(BL58&lt;0, 0, 0.00035*(10*BL58/((1/COS(M$1))-0.8))^(3/(1+1/(DATOS!E$6))))</f>
        <v>3.4830150638069983E-2</v>
      </c>
      <c r="BN58" s="118">
        <f t="shared" si="26"/>
        <v>278220.06279771216</v>
      </c>
    </row>
    <row r="59" spans="1:66">
      <c r="A59" s="41">
        <f>EDisponible!A72</f>
        <v>280</v>
      </c>
      <c r="B59" s="44"/>
      <c r="C59" s="118">
        <f t="shared" si="0"/>
        <v>34612191.365883805</v>
      </c>
      <c r="D59" s="118">
        <f t="shared" si="1"/>
        <v>8.2987742371932738E-2</v>
      </c>
      <c r="E59" s="118">
        <f t="shared" si="2"/>
        <v>1.3558136719258254E-2</v>
      </c>
      <c r="F59" s="118">
        <f t="shared" si="3"/>
        <v>234638.41134589136</v>
      </c>
      <c r="G59" s="118">
        <f>EDisponible!B72</f>
        <v>0.81989905802239615</v>
      </c>
      <c r="H59" s="118">
        <f t="shared" si="27"/>
        <v>1.989905802239611E-2</v>
      </c>
      <c r="I59" s="118">
        <f>IF(H59&lt;0, 0, 0.00035*(10*H59/((1/COS(M$1))-0.8))^(3/(1+1/(DATOS!E$6))))</f>
        <v>3.0495111128845244E-4</v>
      </c>
      <c r="J59" s="118">
        <f t="shared" si="28"/>
        <v>239915.92445646875</v>
      </c>
      <c r="K59" s="118">
        <f t="shared" si="29"/>
        <v>29900220.37867162</v>
      </c>
      <c r="L59" s="11">
        <f t="shared" si="4"/>
        <v>9.6065767530226207E-2</v>
      </c>
      <c r="M59" s="118">
        <f t="shared" si="5"/>
        <v>1.3705206031673351E-2</v>
      </c>
      <c r="N59" s="118">
        <f t="shared" si="6"/>
        <v>204894.34034106636</v>
      </c>
      <c r="O59" s="118">
        <f>EDisponible!C72</f>
        <v>0.83413257905735594</v>
      </c>
      <c r="P59" s="118">
        <f t="shared" si="30"/>
        <v>3.4132579057355894E-2</v>
      </c>
      <c r="Q59" s="118">
        <f>IF(P59&lt;0, 0, 0.00035*(10*P59/((1/COS(M$1))-0.8))^(3/(1+1/(DATOS!E$6))))</f>
        <v>1.2505772484453677E-3</v>
      </c>
      <c r="R59" s="118">
        <f t="shared" si="31"/>
        <v>223590.60800560098</v>
      </c>
      <c r="S59" s="118">
        <f t="shared" si="32"/>
        <v>25695456.36537214</v>
      </c>
      <c r="T59" s="118">
        <f t="shared" si="7"/>
        <v>0.11178581844029452</v>
      </c>
      <c r="U59" s="118">
        <f t="shared" si="8"/>
        <v>1.3910418784212524E-2</v>
      </c>
      <c r="V59" s="118">
        <f t="shared" si="9"/>
        <v>178717.27944689294</v>
      </c>
      <c r="W59" s="118">
        <f>EDisponible!D72</f>
        <v>0.84913409039934951</v>
      </c>
      <c r="X59" s="118">
        <f t="shared" si="33"/>
        <v>4.9134090399349462E-2</v>
      </c>
      <c r="Y59" s="118">
        <f>IF(X59&lt;0, 0, 0.00035*(10*X59/((1/COS(M$1))-0.8))^(3/(1+1/(DATOS!E$6))))</f>
        <v>3.2426531952759997E-3</v>
      </c>
      <c r="Z59" s="118">
        <f t="shared" si="34"/>
        <v>220378.00629051746</v>
      </c>
      <c r="AA59" s="118">
        <f t="shared" si="35"/>
        <v>21958757.127969578</v>
      </c>
      <c r="AB59" s="118">
        <f t="shared" si="10"/>
        <v>0.13080829681117731</v>
      </c>
      <c r="AC59" s="118">
        <f t="shared" si="11"/>
        <v>1.4200249504069703E-2</v>
      </c>
      <c r="AD59" s="118">
        <f t="shared" si="36"/>
        <v>155909.91500821852</v>
      </c>
      <c r="AE59" s="118">
        <f>EDisponible!E72</f>
        <v>0.86497523656262221</v>
      </c>
      <c r="AF59" s="118">
        <f t="shared" si="37"/>
        <v>6.4975236562622163E-2</v>
      </c>
      <c r="AG59" s="118">
        <f>IF(AF59&lt;0, 0, 0.00035*(10*AF59/((1/COS(M$1))-0.8))^(3/(1+1/(DATOS!E$6))))</f>
        <v>6.7346731463343214E-3</v>
      </c>
      <c r="AH59" s="118">
        <f t="shared" si="38"/>
        <v>229852.44098652556</v>
      </c>
      <c r="AI59" s="118">
        <f t="shared" si="39"/>
        <v>18652722.719365567</v>
      </c>
      <c r="AJ59" s="118">
        <f t="shared" si="12"/>
        <v>0.15399294050609777</v>
      </c>
      <c r="AK59" s="118">
        <f t="shared" si="13"/>
        <v>1.461495458138193E-2</v>
      </c>
      <c r="AL59" s="118">
        <f t="shared" si="14"/>
        <v>136304.34768131931</v>
      </c>
      <c r="AM59" s="118">
        <f>EDisponible!F72</f>
        <v>0.88173738239737331</v>
      </c>
      <c r="AN59" s="118">
        <f t="shared" si="40"/>
        <v>8.173738239737327E-2</v>
      </c>
      <c r="AO59" s="118">
        <f>IF(AN59&lt;0, 0, 0.00035*(10*AN59/((1/COS(M$1))-0.8))^(3/(1+1/(DATOS!E$6))))</f>
        <v>1.2274374718749145E-2</v>
      </c>
      <c r="AP59" s="118">
        <f t="shared" si="41"/>
        <v>250779.60177252858</v>
      </c>
      <c r="AQ59" s="118">
        <f t="shared" si="42"/>
        <v>15741679.04678263</v>
      </c>
      <c r="AR59" s="118">
        <f t="shared" si="15"/>
        <v>0.18247021880344297</v>
      </c>
      <c r="AS59" s="118">
        <f t="shared" si="16"/>
        <v>1.5216728072760085E-2</v>
      </c>
      <c r="AT59" s="118">
        <f t="shared" si="17"/>
        <v>119768.42473177823</v>
      </c>
      <c r="AU59" s="118">
        <f>EDisponible!G72</f>
        <v>0.89951337719092295</v>
      </c>
      <c r="AV59" s="118">
        <f t="shared" si="43"/>
        <v>9.9513377190922903E-2</v>
      </c>
      <c r="AW59" s="118">
        <f>IF(AV59&lt;0, 0, 0.00035*(10*AV59/((1/COS(M$1))-0.8))^(3/(1+1/(DATOS!E$6))))</f>
        <v>2.0535821523268671E-2</v>
      </c>
      <c r="AX59" s="118">
        <f t="shared" si="18"/>
        <v>281402.58042243129</v>
      </c>
      <c r="AY59" s="118">
        <f t="shared" si="44"/>
        <v>13191661.009288045</v>
      </c>
      <c r="AZ59" s="118">
        <f t="shared" si="19"/>
        <v>0.21774267986249771</v>
      </c>
      <c r="BA59" s="118">
        <f t="shared" si="20"/>
        <v>1.6103320258331229E-2</v>
      </c>
      <c r="BB59" s="118">
        <f t="shared" si="21"/>
        <v>106214.77098595318</v>
      </c>
      <c r="BC59" s="118">
        <f>EDisponible!H72</f>
        <v>0.91840972654884445</v>
      </c>
      <c r="BD59" s="118">
        <f t="shared" si="45"/>
        <v>0.11840972654884441</v>
      </c>
      <c r="BE59" s="118">
        <f>IF(BD59&lt;0, 0, 0.00035*(10*BD59/((1/COS(M$1))-0.8))^(3/(1+1/(DATOS!E$6))))</f>
        <v>3.2358552385589691E-2</v>
      </c>
      <c r="BF59" s="118">
        <f t="shared" si="22"/>
        <v>319646.29789694725</v>
      </c>
      <c r="BG59" s="118">
        <f t="shared" si="46"/>
        <v>10970395.137154598</v>
      </c>
      <c r="BH59" s="118">
        <f t="shared" si="23"/>
        <v>0.2618308259719635</v>
      </c>
      <c r="BI59" s="118">
        <f t="shared" si="24"/>
        <v>1.7431246870639704E-2</v>
      </c>
      <c r="BJ59" s="118">
        <f t="shared" si="25"/>
        <v>95613.832952103548</v>
      </c>
      <c r="BK59" s="118">
        <f>EDisponible!I72</f>
        <v>0.93854928835100704</v>
      </c>
      <c r="BL59" s="118">
        <f t="shared" si="47"/>
        <v>0.13854928835100699</v>
      </c>
      <c r="BM59" s="118">
        <f>IF(BL59&lt;0, 0, 0.00035*(10*BL59/((1/COS(M$1))-0.8))^(3/(1+1/(DATOS!E$6))))</f>
        <v>4.8798061583446115E-2</v>
      </c>
      <c r="BN59" s="118">
        <f t="shared" si="26"/>
        <v>363280.84170090745</v>
      </c>
    </row>
    <row r="60" spans="1:66">
      <c r="A60" s="41">
        <f>EDisponible!A73</f>
        <v>285</v>
      </c>
      <c r="B60" s="44"/>
      <c r="C60" s="118">
        <f t="shared" si="0"/>
        <v>35859378.10834071</v>
      </c>
      <c r="D60" s="118">
        <f t="shared" si="1"/>
        <v>8.0101434311597761E-2</v>
      </c>
      <c r="E60" s="118">
        <f t="shared" si="2"/>
        <v>1.3528572604643437E-2</v>
      </c>
      <c r="F60" s="118">
        <f t="shared" si="3"/>
        <v>242563.10014802436</v>
      </c>
      <c r="G60" s="118">
        <f>EDisponible!B73</f>
        <v>0.83454011262993899</v>
      </c>
      <c r="H60" s="118">
        <f t="shared" si="27"/>
        <v>3.4540112629938946E-2</v>
      </c>
      <c r="I60" s="118">
        <f>IF(H60&lt;0, 0, 0.00035*(10*H60/((1/COS(M$1))-0.8))^(3/(1+1/(DATOS!E$6))))</f>
        <v>1.2900065087268807E-3</v>
      </c>
      <c r="J60" s="118">
        <f t="shared" si="28"/>
        <v>265692.51572735322</v>
      </c>
      <c r="K60" s="118">
        <f t="shared" si="29"/>
        <v>30977619.901244923</v>
      </c>
      <c r="L60" s="11">
        <f t="shared" si="4"/>
        <v>9.2724606640439966E-2</v>
      </c>
      <c r="M60" s="118">
        <f t="shared" si="5"/>
        <v>1.3665589697069729E-2</v>
      </c>
      <c r="N60" s="118">
        <f t="shared" si="6"/>
        <v>211663.72168109741</v>
      </c>
      <c r="O60" s="118">
        <f>EDisponible!C73</f>
        <v>0.84902780368338016</v>
      </c>
      <c r="P60" s="118">
        <f t="shared" si="30"/>
        <v>4.9027803683380111E-2</v>
      </c>
      <c r="Q60" s="118">
        <f>IF(P60&lt;0, 0, 0.00035*(10*P60/((1/COS(M$1))-0.8))^(3/(1+1/(DATOS!E$6))))</f>
        <v>3.2243396253473365E-3</v>
      </c>
      <c r="R60" s="118">
        <f t="shared" si="31"/>
        <v>261604.90535436355</v>
      </c>
      <c r="S60" s="118">
        <f t="shared" si="32"/>
        <v>26621344.939762145</v>
      </c>
      <c r="T60" s="118">
        <f t="shared" si="7"/>
        <v>0.10789791524431012</v>
      </c>
      <c r="U60" s="118">
        <f t="shared" si="8"/>
        <v>1.3856776112644667E-2</v>
      </c>
      <c r="V60" s="118">
        <f t="shared" si="9"/>
        <v>184443.00832388503</v>
      </c>
      <c r="W60" s="118">
        <f>EDisponible!D73</f>
        <v>0.86429719915648073</v>
      </c>
      <c r="X60" s="118">
        <f t="shared" si="33"/>
        <v>6.4297199156480689E-2</v>
      </c>
      <c r="Y60" s="118">
        <f>IF(X60&lt;0, 0, 0.00035*(10*X60/((1/COS(M$1))-0.8))^(3/(1+1/(DATOS!E$6))))</f>
        <v>6.5524138011723654E-3</v>
      </c>
      <c r="Z60" s="118">
        <f t="shared" si="34"/>
        <v>271660.04231841885</v>
      </c>
      <c r="AA60" s="118">
        <f t="shared" si="35"/>
        <v>22750000.608664911</v>
      </c>
      <c r="AB60" s="118">
        <f t="shared" si="10"/>
        <v>0.1262587931055254</v>
      </c>
      <c r="AC60" s="118">
        <f t="shared" si="11"/>
        <v>1.4126796838780688E-2</v>
      </c>
      <c r="AD60" s="118">
        <f t="shared" si="36"/>
        <v>160692.31834037311</v>
      </c>
      <c r="AE60" s="118">
        <f>EDisponible!E73</f>
        <v>0.88042122292981195</v>
      </c>
      <c r="AF60" s="118">
        <f t="shared" si="37"/>
        <v>8.0421222929811909E-2</v>
      </c>
      <c r="AG60" s="118">
        <f>IF(AF60&lt;0, 0, 0.00035*(10*AF60/((1/COS(M$1))-0.8))^(3/(1+1/(DATOS!E$6))))</f>
        <v>1.1764156097525324E-2</v>
      </c>
      <c r="AH60" s="118">
        <f t="shared" si="38"/>
        <v>294509.59752993821</v>
      </c>
      <c r="AI60" s="118">
        <f t="shared" si="39"/>
        <v>19324839.322454952</v>
      </c>
      <c r="AJ60" s="118">
        <f t="shared" si="12"/>
        <v>0.14863707646264163</v>
      </c>
      <c r="AK60" s="118">
        <f t="shared" si="13"/>
        <v>1.4513156732456975E-2</v>
      </c>
      <c r="AL60" s="118">
        <f t="shared" si="14"/>
        <v>140232.21095816817</v>
      </c>
      <c r="AM60" s="118">
        <f>EDisponible!F73</f>
        <v>0.8974826927973264</v>
      </c>
      <c r="AN60" s="118">
        <f t="shared" si="40"/>
        <v>9.7482692797326354E-2</v>
      </c>
      <c r="AO60" s="118">
        <f>IF(AN60&lt;0, 0, 0.00035*(10*AN60/((1/COS(M$1))-0.8))^(3/(1+1/(DATOS!E$6))))</f>
        <v>1.9457814728062614E-2</v>
      </c>
      <c r="AP60" s="118">
        <f t="shared" si="41"/>
        <v>328241.78255112196</v>
      </c>
      <c r="AQ60" s="118">
        <f t="shared" si="42"/>
        <v>16308901.537945399</v>
      </c>
      <c r="AR60" s="118">
        <f t="shared" si="15"/>
        <v>0.17612391694909113</v>
      </c>
      <c r="AS60" s="118">
        <f t="shared" si="16"/>
        <v>1.5073798872777397E-2</v>
      </c>
      <c r="AT60" s="118">
        <f t="shared" si="17"/>
        <v>122918.55080945946</v>
      </c>
      <c r="AU60" s="118">
        <f>EDisponible!G73</f>
        <v>0.91557611606933231</v>
      </c>
      <c r="AV60" s="118">
        <f t="shared" si="43"/>
        <v>0.11557611606933227</v>
      </c>
      <c r="AW60" s="118">
        <f>IF(AV60&lt;0, 0, 0.00035*(10*AV60/((1/COS(M$1))-0.8))^(3/(1+1/(DATOS!E$6))))</f>
        <v>3.0372260458432766E-2</v>
      </c>
      <c r="AX60" s="118">
        <f t="shared" si="18"/>
        <v>370587.6534601656</v>
      </c>
      <c r="AY60" s="118">
        <f t="shared" si="44"/>
        <v>13666998.284176296</v>
      </c>
      <c r="AZ60" s="118">
        <f t="shared" si="19"/>
        <v>0.21016960420092112</v>
      </c>
      <c r="BA60" s="118">
        <f t="shared" si="20"/>
        <v>1.5899792286630868E-2</v>
      </c>
      <c r="BB60" s="118">
        <f t="shared" si="21"/>
        <v>108651.21695007179</v>
      </c>
      <c r="BC60" s="118">
        <f>EDisponible!H73</f>
        <v>0.93480990023721666</v>
      </c>
      <c r="BD60" s="118">
        <f t="shared" si="45"/>
        <v>0.13480990023721662</v>
      </c>
      <c r="BE60" s="118">
        <f>IF(BD60&lt;0, 0, 0.00035*(10*BD60/((1/COS(M$1))-0.8))^(3/(1+1/(DATOS!E$6))))</f>
        <v>4.5428168862627114E-2</v>
      </c>
      <c r="BF60" s="118">
        <f t="shared" si="22"/>
        <v>419084.56989946967</v>
      </c>
      <c r="BG60" s="118">
        <f t="shared" si="46"/>
        <v>11365693.176216608</v>
      </c>
      <c r="BH60" s="118">
        <f t="shared" si="23"/>
        <v>0.2527243675740467</v>
      </c>
      <c r="BI60" s="118">
        <f t="shared" si="24"/>
        <v>1.713695482167054E-2</v>
      </c>
      <c r="BJ60" s="118">
        <f t="shared" si="25"/>
        <v>97386.685238896578</v>
      </c>
      <c r="BK60" s="118">
        <f>EDisponible!I73</f>
        <v>0.95530909707156064</v>
      </c>
      <c r="BL60" s="118">
        <f t="shared" si="47"/>
        <v>0.1553090970715606</v>
      </c>
      <c r="BM60" s="118">
        <f>IF(BL60&lt;0, 0, 0.00035*(10*BL60/((1/COS(M$1))-0.8))^(3/(1+1/(DATOS!E$6))))</f>
        <v>6.5781880110931418E-2</v>
      </c>
      <c r="BN60" s="118">
        <f t="shared" si="26"/>
        <v>471215.01818665274</v>
      </c>
    </row>
    <row r="61" spans="1:66">
      <c r="A61" s="41">
        <f>EDisponible!A74</f>
        <v>290</v>
      </c>
      <c r="B61" s="44"/>
      <c r="C61" s="118">
        <f t="shared" si="0"/>
        <v>37128638.952434026</v>
      </c>
      <c r="D61" s="118">
        <f t="shared" si="1"/>
        <v>7.7363127252788683E-2</v>
      </c>
      <c r="E61" s="118">
        <f t="shared" si="2"/>
        <v>1.3501491771018241E-2</v>
      </c>
      <c r="F61" s="118">
        <f t="shared" si="3"/>
        <v>250646.00664269767</v>
      </c>
      <c r="G61" s="118">
        <f>EDisponible!B74</f>
        <v>0.84918116723748172</v>
      </c>
      <c r="H61" s="118">
        <f t="shared" si="27"/>
        <v>4.9181167237481671E-2</v>
      </c>
      <c r="I61" s="118">
        <f>IF(H61&lt;0, 0, 0.00035*(10*H61/((1/COS(M$1))-0.8))^(3/(1+1/(DATOS!E$6))))</f>
        <v>3.2507851782118181E-3</v>
      </c>
      <c r="J61" s="118">
        <f t="shared" si="28"/>
        <v>310994.62123957288</v>
      </c>
      <c r="K61" s="118">
        <f t="shared" si="29"/>
        <v>32074088.441916872</v>
      </c>
      <c r="L61" s="11">
        <f t="shared" si="4"/>
        <v>8.9554770206536696E-2</v>
      </c>
      <c r="M61" s="118">
        <f t="shared" si="5"/>
        <v>1.3629300994356369E-2</v>
      </c>
      <c r="N61" s="118">
        <f t="shared" si="6"/>
        <v>218573.70274724587</v>
      </c>
      <c r="O61" s="118">
        <f>EDisponible!C74</f>
        <v>0.86392302830940437</v>
      </c>
      <c r="P61" s="118">
        <f t="shared" si="30"/>
        <v>6.3923028309404328E-2</v>
      </c>
      <c r="Q61" s="118">
        <f>IF(P61&lt;0, 0, 0.00035*(10*P61/((1/COS(M$1))-0.8))^(3/(1+1/(DATOS!E$6))))</f>
        <v>6.4531545249309945E-3</v>
      </c>
      <c r="R61" s="118">
        <f t="shared" si="31"/>
        <v>322063.22722824226</v>
      </c>
      <c r="S61" s="118">
        <f t="shared" si="32"/>
        <v>27563620.922548432</v>
      </c>
      <c r="T61" s="118">
        <f t="shared" si="7"/>
        <v>0.10420937176836016</v>
      </c>
      <c r="U61" s="118">
        <f t="shared" si="8"/>
        <v>1.3807639235627825E-2</v>
      </c>
      <c r="V61" s="118">
        <f t="shared" si="9"/>
        <v>190294.26686307587</v>
      </c>
      <c r="W61" s="118">
        <f>EDisponible!D74</f>
        <v>0.87946030791361196</v>
      </c>
      <c r="X61" s="118">
        <f t="shared" si="33"/>
        <v>7.9460307913611916E-2</v>
      </c>
      <c r="Y61" s="118">
        <f>IF(X61&lt;0, 0, 0.00035*(10*X61/((1/COS(M$1))-0.8))^(3/(1+1/(DATOS!E$6))))</f>
        <v>1.1400065536577988E-2</v>
      </c>
      <c r="Z61" s="118">
        <f t="shared" si="34"/>
        <v>347407.80933429801</v>
      </c>
      <c r="AA61" s="118">
        <f t="shared" si="35"/>
        <v>23555248.398753081</v>
      </c>
      <c r="AB61" s="118">
        <f t="shared" si="10"/>
        <v>0.12194257395952796</v>
      </c>
      <c r="AC61" s="118">
        <f t="shared" si="11"/>
        <v>1.4059513937400578E-2</v>
      </c>
      <c r="AD61" s="118">
        <f t="shared" si="36"/>
        <v>165587.67158060079</v>
      </c>
      <c r="AE61" s="118">
        <f>EDisponible!E74</f>
        <v>0.89586720929700159</v>
      </c>
      <c r="AF61" s="118">
        <f t="shared" si="37"/>
        <v>9.5867209297001543E-2</v>
      </c>
      <c r="AG61" s="118">
        <f>IF(AF61&lt;0, 0, 0.00035*(10*AF61/((1/COS(M$1))-0.8))^(3/(1+1/(DATOS!E$6))))</f>
        <v>1.8625720752925609E-2</v>
      </c>
      <c r="AH61" s="118">
        <f t="shared" si="38"/>
        <v>384954.41105108726</v>
      </c>
      <c r="AI61" s="118">
        <f t="shared" si="39"/>
        <v>20008851.794625562</v>
      </c>
      <c r="AJ61" s="118">
        <f t="shared" si="12"/>
        <v>0.14355584465728974</v>
      </c>
      <c r="AK61" s="118">
        <f t="shared" si="13"/>
        <v>1.4419909542542558E-2</v>
      </c>
      <c r="AL61" s="118">
        <f t="shared" si="14"/>
        <v>144262.91646432047</v>
      </c>
      <c r="AM61" s="118">
        <f>EDisponible!F74</f>
        <v>0.91322800319727948</v>
      </c>
      <c r="AN61" s="118">
        <f t="shared" si="40"/>
        <v>0.11322800319727944</v>
      </c>
      <c r="AO61" s="118">
        <f>IF(AN61&lt;0, 0, 0.00035*(10*AN61/((1/COS(M$1))-0.8))^(3/(1+1/(DATOS!E$6))))</f>
        <v>2.8784781021871052E-2</v>
      </c>
      <c r="AP61" s="118">
        <f t="shared" si="41"/>
        <v>432238.12516800466</v>
      </c>
      <c r="AQ61" s="118">
        <f t="shared" si="42"/>
        <v>16886163.365234941</v>
      </c>
      <c r="AR61" s="118">
        <f t="shared" si="15"/>
        <v>0.17010303393804907</v>
      </c>
      <c r="AS61" s="118">
        <f t="shared" si="16"/>
        <v>1.4942875219715466E-2</v>
      </c>
      <c r="AT61" s="118">
        <f t="shared" si="17"/>
        <v>126163.91605321816</v>
      </c>
      <c r="AU61" s="118">
        <f>EDisponible!G74</f>
        <v>0.93163885494774168</v>
      </c>
      <c r="AV61" s="118">
        <f t="shared" si="43"/>
        <v>0.13163885494774163</v>
      </c>
      <c r="AW61" s="118">
        <f>IF(AV61&lt;0, 0, 0.00035*(10*AV61/((1/COS(M$1))-0.8))^(3/(1+1/(DATOS!E$6))))</f>
        <v>4.2686268571628869E-2</v>
      </c>
      <c r="AX61" s="118">
        <f t="shared" si="18"/>
        <v>486567.56832962768</v>
      </c>
      <c r="AY61" s="118">
        <f t="shared" si="44"/>
        <v>14150748.60817761</v>
      </c>
      <c r="AZ61" s="118">
        <f t="shared" si="19"/>
        <v>0.20298485257098478</v>
      </c>
      <c r="BA61" s="118">
        <f t="shared" si="20"/>
        <v>1.5713359944194726E-2</v>
      </c>
      <c r="BB61" s="118">
        <f t="shared" si="21"/>
        <v>111177.90318005366</v>
      </c>
      <c r="BC61" s="118">
        <f>EDisponible!H74</f>
        <v>0.95121007392558887</v>
      </c>
      <c r="BD61" s="118">
        <f t="shared" si="45"/>
        <v>0.15121007392558883</v>
      </c>
      <c r="BE61" s="118">
        <f>IF(BD61&lt;0, 0, 0.00035*(10*BD61/((1/COS(M$1))-0.8))^(3/(1+1/(DATOS!E$6))))</f>
        <v>6.1337423863171071E-2</v>
      </c>
      <c r="BF61" s="118">
        <f t="shared" si="22"/>
        <v>545163.13586053776</v>
      </c>
      <c r="BG61" s="118">
        <f t="shared" si="46"/>
        <v>11767987.640748747</v>
      </c>
      <c r="BH61" s="118">
        <f t="shared" si="23"/>
        <v>0.24408486035911933</v>
      </c>
      <c r="BI61" s="118">
        <f t="shared" si="24"/>
        <v>1.6867382263209486E-2</v>
      </c>
      <c r="BJ61" s="118">
        <f t="shared" si="25"/>
        <v>99247.573002616919</v>
      </c>
      <c r="BK61" s="118">
        <f>EDisponible!I74</f>
        <v>0.97206890579211436</v>
      </c>
      <c r="BL61" s="118">
        <f t="shared" si="47"/>
        <v>0.17206890579211431</v>
      </c>
      <c r="BM61" s="118">
        <f>IF(BL61&lt;0, 0, 0.00035*(10*BL61/((1/COS(M$1))-0.8))^(3/(1+1/(DATOS!E$6))))</f>
        <v>8.600135374525103E-2</v>
      </c>
      <c r="BN61" s="118">
        <f t="shared" si="26"/>
        <v>605279.0069835044</v>
      </c>
    </row>
    <row r="62" spans="1:66">
      <c r="A62" s="41">
        <f>EDisponible!A75</f>
        <v>295</v>
      </c>
      <c r="B62" s="44"/>
      <c r="C62" s="118">
        <f t="shared" si="0"/>
        <v>38419973.898163743</v>
      </c>
      <c r="D62" s="118">
        <f t="shared" si="1"/>
        <v>7.4762872760235896E-2</v>
      </c>
      <c r="E62" s="118">
        <f t="shared" si="2"/>
        <v>1.3476648066439795E-2</v>
      </c>
      <c r="F62" s="118">
        <f t="shared" si="3"/>
        <v>258886.23347367792</v>
      </c>
      <c r="G62" s="118">
        <f>EDisponible!B75</f>
        <v>0.86382222184502455</v>
      </c>
      <c r="H62" s="118">
        <f t="shared" si="27"/>
        <v>6.3822221845024507E-2</v>
      </c>
      <c r="I62" s="118">
        <f>IF(H62&lt;0, 0, 0.00035*(10*H62/((1/COS(M$1))-0.8))^(3/(1+1/(DATOS!E$6))))</f>
        <v>6.4265726675068156E-3</v>
      </c>
      <c r="J62" s="118">
        <f t="shared" si="28"/>
        <v>382340.61054381012</v>
      </c>
      <c r="K62" s="118">
        <f t="shared" si="29"/>
        <v>33189626.000687465</v>
      </c>
      <c r="L62" s="11">
        <f t="shared" si="4"/>
        <v>8.6544742020910503E-2</v>
      </c>
      <c r="M62" s="118">
        <f t="shared" si="5"/>
        <v>1.3596010076424397E-2</v>
      </c>
      <c r="N62" s="118">
        <f t="shared" si="6"/>
        <v>225623.24476905196</v>
      </c>
      <c r="O62" s="118">
        <f>EDisponible!C75</f>
        <v>0.87881825293542859</v>
      </c>
      <c r="P62" s="118">
        <f t="shared" si="30"/>
        <v>7.8818252935428545E-2</v>
      </c>
      <c r="Q62" s="118">
        <f>IF(P62&lt;0, 0, 0.00035*(10*P62/((1/COS(M$1))-0.8))^(3/(1+1/(DATOS!E$6))))</f>
        <v>1.1160719639061711E-2</v>
      </c>
      <c r="R62" s="118">
        <f t="shared" si="31"/>
        <v>410833.30012854486</v>
      </c>
      <c r="S62" s="118">
        <f t="shared" si="32"/>
        <v>28522284.313731</v>
      </c>
      <c r="T62" s="118">
        <f t="shared" si="7"/>
        <v>0.10070678731076231</v>
      </c>
      <c r="U62" s="118">
        <f t="shared" si="8"/>
        <v>1.3762561522238008E-2</v>
      </c>
      <c r="V62" s="118">
        <f t="shared" si="9"/>
        <v>196269.84631124348</v>
      </c>
      <c r="W62" s="118">
        <f>EDisponible!D75</f>
        <v>0.89462341667074319</v>
      </c>
      <c r="X62" s="118">
        <f t="shared" si="33"/>
        <v>9.4623416670743143E-2</v>
      </c>
      <c r="Y62" s="118">
        <f>IF(X62&lt;0, 0, 0.00035*(10*X62/((1/COS(M$1))-0.8))^(3/(1+1/(DATOS!E$6))))</f>
        <v>1.8000312262037025E-2</v>
      </c>
      <c r="Z62" s="118">
        <f t="shared" si="34"/>
        <v>452974.85834812268</v>
      </c>
      <c r="AA62" s="118">
        <f t="shared" si="35"/>
        <v>24374500.498234086</v>
      </c>
      <c r="AB62" s="118">
        <f t="shared" si="10"/>
        <v>0.11784395828780583</v>
      </c>
      <c r="AC62" s="118">
        <f t="shared" si="11"/>
        <v>1.3997789230244112E-2</v>
      </c>
      <c r="AD62" s="118">
        <f t="shared" si="36"/>
        <v>170594.56028338042</v>
      </c>
      <c r="AE62" s="118">
        <f>EDisponible!E75</f>
        <v>0.91131319566419133</v>
      </c>
      <c r="AF62" s="118">
        <f t="shared" si="37"/>
        <v>0.11131319566419129</v>
      </c>
      <c r="AG62" s="118">
        <f>IF(AF62&lt;0, 0, 0.00035*(10*AF62/((1/COS(M$1))-0.8))^(3/(1+1/(DATOS!E$6))))</f>
        <v>2.7528988827517937E-2</v>
      </c>
      <c r="AH62" s="118">
        <f t="shared" si="38"/>
        <v>506097.23622948863</v>
      </c>
      <c r="AI62" s="118">
        <f t="shared" si="39"/>
        <v>20704760.135877404</v>
      </c>
      <c r="AJ62" s="118">
        <f t="shared" si="12"/>
        <v>0.13873078466737221</v>
      </c>
      <c r="AK62" s="118">
        <f t="shared" si="13"/>
        <v>1.4334365438876239E-2</v>
      </c>
      <c r="AL62" s="118">
        <f t="shared" si="14"/>
        <v>148394.79905597179</v>
      </c>
      <c r="AM62" s="118">
        <f>EDisponible!F75</f>
        <v>0.92897331359723256</v>
      </c>
      <c r="AN62" s="118">
        <f t="shared" si="40"/>
        <v>0.12897331359723252</v>
      </c>
      <c r="AO62" s="118">
        <f>IF(AN62&lt;0, 0, 0.00035*(10*AN62/((1/COS(M$1))-0.8))^(3/(1+1/(DATOS!E$6))))</f>
        <v>4.0462479563449318E-2</v>
      </c>
      <c r="AP62" s="118">
        <f t="shared" si="41"/>
        <v>567277.7659880016</v>
      </c>
      <c r="AQ62" s="118">
        <f t="shared" si="42"/>
        <v>17473464.528651256</v>
      </c>
      <c r="AR62" s="118">
        <f t="shared" si="15"/>
        <v>0.16438569553794805</v>
      </c>
      <c r="AS62" s="118">
        <f t="shared" si="16"/>
        <v>1.4822767079618352E-2</v>
      </c>
      <c r="AT62" s="118">
        <f t="shared" si="17"/>
        <v>129502.54739108542</v>
      </c>
      <c r="AU62" s="118">
        <f>EDisponible!G75</f>
        <v>0.94770159382615105</v>
      </c>
      <c r="AV62" s="118">
        <f t="shared" si="43"/>
        <v>0.147701593826151</v>
      </c>
      <c r="AW62" s="118">
        <f>IF(AV62&lt;0, 0, 0.00035*(10*AV62/((1/COS(M$1))-0.8))^(3/(1+1/(DATOS!E$6))))</f>
        <v>5.7684650152621336E-2</v>
      </c>
      <c r="AX62" s="118">
        <f t="shared" si="18"/>
        <v>633477.89153582859</v>
      </c>
      <c r="AY62" s="118">
        <f t="shared" si="44"/>
        <v>14642911.981291991</v>
      </c>
      <c r="AZ62" s="118">
        <f t="shared" si="19"/>
        <v>0.19616232233518899</v>
      </c>
      <c r="BA62" s="118">
        <f t="shared" si="20"/>
        <v>1.5542328649388424E-2</v>
      </c>
      <c r="BB62" s="118">
        <f t="shared" si="21"/>
        <v>113792.47519865376</v>
      </c>
      <c r="BC62" s="118">
        <f>EDisponible!H75</f>
        <v>0.96761024761396108</v>
      </c>
      <c r="BD62" s="118">
        <f t="shared" si="45"/>
        <v>0.16761024761396104</v>
      </c>
      <c r="BE62" s="118">
        <f>IF(BD62&lt;0, 0, 0.00035*(10*BD62/((1/COS(M$1))-0.8))^(3/(1+1/(DATOS!E$6))))</f>
        <v>8.029437436947777E-2</v>
      </c>
      <c r="BF62" s="118">
        <f t="shared" si="22"/>
        <v>701664.20344123908</v>
      </c>
      <c r="BG62" s="118">
        <f t="shared" si="46"/>
        <v>12177278.530751007</v>
      </c>
      <c r="BH62" s="118">
        <f t="shared" si="23"/>
        <v>0.23588091647459852</v>
      </c>
      <c r="BI62" s="118">
        <f t="shared" si="24"/>
        <v>1.6620078908462267E-2</v>
      </c>
      <c r="BJ62" s="118">
        <f t="shared" si="25"/>
        <v>101193.66503570259</v>
      </c>
      <c r="BK62" s="118">
        <f>EDisponible!I75</f>
        <v>0.98882871451266807</v>
      </c>
      <c r="BL62" s="118">
        <f t="shared" si="47"/>
        <v>0.18882871451266803</v>
      </c>
      <c r="BM62" s="118">
        <f>IF(BL62&lt;0, 0, 0.00035*(10*BL62/((1/COS(M$1))-0.8))^(3/(1+1/(DATOS!E$6))))</f>
        <v>0.10966725178740011</v>
      </c>
      <c r="BN62" s="118">
        <f t="shared" si="26"/>
        <v>768918.00039428868</v>
      </c>
    </row>
    <row r="63" spans="1:66">
      <c r="A63" s="41">
        <f>EDisponible!A76</f>
        <v>300</v>
      </c>
      <c r="B63" s="44"/>
      <c r="C63" s="118">
        <f t="shared" si="0"/>
        <v>39733382.945529871</v>
      </c>
      <c r="D63" s="118">
        <f t="shared" si="1"/>
        <v>7.2291544466216981E-2</v>
      </c>
      <c r="E63" s="118">
        <f t="shared" si="2"/>
        <v>1.3453823340552173E-2</v>
      </c>
      <c r="F63" s="118">
        <f t="shared" si="3"/>
        <v>267282.9574358337</v>
      </c>
      <c r="G63" s="118">
        <f>EDisponible!B76</f>
        <v>0.87846327645256728</v>
      </c>
      <c r="H63" s="118">
        <f t="shared" si="27"/>
        <v>7.8463276452567232E-2</v>
      </c>
      <c r="I63" s="118">
        <f>IF(H63&lt;0, 0, 0.00035*(10*H63/((1/COS(M$1))-0.8))^(3/(1+1/(DATOS!E$6))))</f>
        <v>1.1029735315087122E-2</v>
      </c>
      <c r="J63" s="118">
        <f t="shared" si="28"/>
        <v>486407.3059669293</v>
      </c>
      <c r="K63" s="118">
        <f t="shared" si="29"/>
        <v>34324232.5775567</v>
      </c>
      <c r="L63" s="11">
        <f t="shared" si="4"/>
        <v>8.3683957492997077E-2</v>
      </c>
      <c r="M63" s="118">
        <f t="shared" si="5"/>
        <v>1.3565424618690217E-2</v>
      </c>
      <c r="N63" s="118">
        <f t="shared" si="6"/>
        <v>232811.39481261821</v>
      </c>
      <c r="O63" s="118">
        <f>EDisponible!C76</f>
        <v>0.89371347756145281</v>
      </c>
      <c r="P63" s="118">
        <f t="shared" si="30"/>
        <v>9.3713477561452763E-2</v>
      </c>
      <c r="Q63" s="118">
        <f>IF(P63&lt;0, 0, 0.00035*(10*P63/((1/COS(M$1))-0.8))^(3/(1+1/(DATOS!E$6))))</f>
        <v>1.7551102030818024E-2</v>
      </c>
      <c r="R63" s="118">
        <f t="shared" si="31"/>
        <v>534025.44886173098</v>
      </c>
      <c r="S63" s="118">
        <f t="shared" si="32"/>
        <v>29497335.113309853</v>
      </c>
      <c r="T63" s="118">
        <f t="shared" si="7"/>
        <v>9.7377868507989893E-2</v>
      </c>
      <c r="U63" s="118">
        <f t="shared" si="8"/>
        <v>1.37211471490911E-2</v>
      </c>
      <c r="V63" s="118">
        <f t="shared" si="9"/>
        <v>202368.63779788814</v>
      </c>
      <c r="W63" s="118">
        <f>EDisponible!D76</f>
        <v>0.90978652542787453</v>
      </c>
      <c r="X63" s="118">
        <f t="shared" si="33"/>
        <v>0.10978652542787448</v>
      </c>
      <c r="Y63" s="118">
        <f>IF(X63&lt;0, 0, 0.00035*(10*X63/((1/COS(M$1))-0.8))^(3/(1+1/(DATOS!E$6))))</f>
        <v>2.6552425652910428E-2</v>
      </c>
      <c r="Z63" s="118">
        <f t="shared" si="34"/>
        <v>593981.53657546022</v>
      </c>
      <c r="AA63" s="118">
        <f t="shared" si="35"/>
        <v>25207756.907107931</v>
      </c>
      <c r="AB63" s="118">
        <f t="shared" si="10"/>
        <v>0.1139485607777367</v>
      </c>
      <c r="AC63" s="118">
        <f t="shared" si="11"/>
        <v>1.3941080718158428E-2</v>
      </c>
      <c r="AD63" s="118">
        <f t="shared" si="36"/>
        <v>175711.68688285365</v>
      </c>
      <c r="AE63" s="118">
        <f>EDisponible!E76</f>
        <v>0.92675918203138097</v>
      </c>
      <c r="AF63" s="118">
        <f t="shared" si="37"/>
        <v>0.12675918203138092</v>
      </c>
      <c r="AG63" s="118">
        <f>IF(AF63&lt;0, 0, 0.00035*(10*AF63/((1/COS(M$1))-0.8))^(3/(1+1/(DATOS!E$6))))</f>
        <v>3.8670846290505212E-2</v>
      </c>
      <c r="AH63" s="118">
        <f t="shared" si="38"/>
        <v>663114.33322444966</v>
      </c>
      <c r="AI63" s="118">
        <f t="shared" si="39"/>
        <v>21412564.346210472</v>
      </c>
      <c r="AJ63" s="118">
        <f t="shared" si="12"/>
        <v>0.13414496150753408</v>
      </c>
      <c r="AK63" s="118">
        <f t="shared" si="13"/>
        <v>1.4255773266307099E-2</v>
      </c>
      <c r="AL63" s="118">
        <f t="shared" si="14"/>
        <v>152626.3311848939</v>
      </c>
      <c r="AM63" s="118">
        <f>EDisponible!F76</f>
        <v>0.94471862399718576</v>
      </c>
      <c r="AN63" s="118">
        <f t="shared" si="40"/>
        <v>0.14471862399718571</v>
      </c>
      <c r="AO63" s="118">
        <f>IF(AN63&lt;0, 0, 0.00035*(10*AN63/((1/COS(M$1))-0.8))^(3/(1+1/(DATOS!E$6))))</f>
        <v>5.4687236145602718E-2</v>
      </c>
      <c r="AP63" s="118">
        <f t="shared" si="41"/>
        <v>738123.3126269565</v>
      </c>
      <c r="AQ63" s="118">
        <f t="shared" si="42"/>
        <v>18070805.028194349</v>
      </c>
      <c r="AR63" s="118">
        <f t="shared" si="15"/>
        <v>0.15895183504655475</v>
      </c>
      <c r="AS63" s="118">
        <f t="shared" si="16"/>
        <v>1.4712419793611459E-2</v>
      </c>
      <c r="AT63" s="118">
        <f t="shared" si="17"/>
        <v>132932.63479164999</v>
      </c>
      <c r="AU63" s="118">
        <f>EDisponible!G76</f>
        <v>0.9637643327045603</v>
      </c>
      <c r="AV63" s="118">
        <f t="shared" si="43"/>
        <v>0.16376433270456026</v>
      </c>
      <c r="AW63" s="118">
        <f>IF(AV63&lt;0, 0, 0.00035*(10*AV63/((1/COS(M$1))-0.8))^(3/(1+1/(DATOS!E$6))))</f>
        <v>7.5564667945216005E-2</v>
      </c>
      <c r="AX63" s="118">
        <f t="shared" si="18"/>
        <v>815689.82552077284</v>
      </c>
      <c r="AY63" s="118">
        <f t="shared" si="44"/>
        <v>15143488.40351944</v>
      </c>
      <c r="AZ63" s="118">
        <f t="shared" si="19"/>
        <v>0.18967806779133131</v>
      </c>
      <c r="BA63" s="118">
        <f t="shared" si="20"/>
        <v>1.5385196591653947E-2</v>
      </c>
      <c r="BB63" s="118">
        <f t="shared" si="21"/>
        <v>116492.77308578919</v>
      </c>
      <c r="BC63" s="118">
        <f>EDisponible!H76</f>
        <v>0.98401042130233329</v>
      </c>
      <c r="BD63" s="118">
        <f t="shared" si="45"/>
        <v>0.18401042130233325</v>
      </c>
      <c r="BE63" s="118">
        <f>IF(BD63&lt;0, 0, 0.00035*(10*BD63/((1/COS(M$1))-0.8))^(3/(1+1/(DATOS!E$6))))</f>
        <v>0.10249853416012493</v>
      </c>
      <c r="BF63" s="118">
        <f t="shared" si="22"/>
        <v>892585.45480158576</v>
      </c>
      <c r="BG63" s="118">
        <f t="shared" si="46"/>
        <v>12593565.84622339</v>
      </c>
      <c r="BH63" s="118">
        <f t="shared" si="23"/>
        <v>0.22808374173557711</v>
      </c>
      <c r="BI63" s="118">
        <f t="shared" si="24"/>
        <v>1.6392873208709604E-2</v>
      </c>
      <c r="BJ63" s="118">
        <f t="shared" si="25"/>
        <v>103222.36408133784</v>
      </c>
      <c r="BK63" s="118">
        <f>EDisponible!I76</f>
        <v>1.0055885232332218</v>
      </c>
      <c r="BL63" s="118">
        <f t="shared" si="47"/>
        <v>0.20558852323322174</v>
      </c>
      <c r="BM63" s="118">
        <f>IF(BL63&lt;0, 0, 0.00035*(10*BL63/((1/COS(M$1))-0.8))^(3/(1+1/(DATOS!E$6))))</f>
        <v>0.13698256241459403</v>
      </c>
      <c r="BN63" s="118">
        <f t="shared" si="26"/>
        <v>965771.82385763549</v>
      </c>
    </row>
    <row r="64" spans="1:66">
      <c r="A64" s="41">
        <f>EDisponible!A77</f>
        <v>305</v>
      </c>
      <c r="B64" s="44"/>
      <c r="C64" s="118">
        <f t="shared" si="0"/>
        <v>41068866.0945324</v>
      </c>
      <c r="D64" s="118">
        <f t="shared" si="1"/>
        <v>6.9940757881854651E-2</v>
      </c>
      <c r="E64" s="118">
        <f t="shared" si="2"/>
        <v>1.3432823862589083E-2</v>
      </c>
      <c r="F64" s="118">
        <f t="shared" si="3"/>
        <v>275835.4222420553</v>
      </c>
      <c r="G64" s="118">
        <f>EDisponible!B77</f>
        <v>0.89310433106011011</v>
      </c>
      <c r="H64" s="118">
        <f t="shared" si="27"/>
        <v>9.3104331060110068E-2</v>
      </c>
      <c r="I64" s="118">
        <f>IF(H64&lt;0, 0, 0.00035*(10*H64/((1/COS(M$1))-0.8))^(3/(1+1/(DATOS!E$6))))</f>
        <v>1.7254293329892513E-2</v>
      </c>
      <c r="J64" s="118">
        <f t="shared" si="28"/>
        <v>630142.55340262491</v>
      </c>
      <c r="K64" s="118">
        <f t="shared" si="29"/>
        <v>35477908.172524579</v>
      </c>
      <c r="L64" s="11">
        <f t="shared" si="4"/>
        <v>8.0962710823646714E-2</v>
      </c>
      <c r="M64" s="118">
        <f t="shared" si="5"/>
        <v>1.353728501916809E-2</v>
      </c>
      <c r="N64" s="118">
        <f t="shared" si="6"/>
        <v>240137.27740766908</v>
      </c>
      <c r="O64" s="118">
        <f>EDisponible!C77</f>
        <v>0.90860870218747702</v>
      </c>
      <c r="P64" s="118">
        <f t="shared" si="30"/>
        <v>0.10860870218747698</v>
      </c>
      <c r="Q64" s="118">
        <f>IF(P64&lt;0, 0, 0.00035*(10*P64/((1/COS(M$1))-0.8))^(3/(1+1/(DATOS!E$6))))</f>
        <v>2.5813842200320545E-2</v>
      </c>
      <c r="R64" s="118">
        <f t="shared" si="31"/>
        <v>698047.83898917516</v>
      </c>
      <c r="S64" s="118">
        <f t="shared" si="32"/>
        <v>30488773.321284991</v>
      </c>
      <c r="T64" s="118">
        <f t="shared" si="7"/>
        <v>9.4211321319205482E-2</v>
      </c>
      <c r="U64" s="118">
        <f t="shared" si="8"/>
        <v>1.3683044600980092E-2</v>
      </c>
      <c r="V64" s="118">
        <f t="shared" si="9"/>
        <v>208589.62259215725</v>
      </c>
      <c r="W64" s="118">
        <f>EDisponible!D77</f>
        <v>0.92494963418500575</v>
      </c>
      <c r="X64" s="118">
        <f t="shared" si="33"/>
        <v>0.12494963418500571</v>
      </c>
      <c r="Y64" s="118">
        <f>IF(X64&lt;0, 0, 0.00035*(10*X64/((1/COS(M$1))-0.8))^(3/(1+1/(DATOS!E$6))))</f>
        <v>3.7243635413839959E-2</v>
      </c>
      <c r="Z64" s="118">
        <f t="shared" si="34"/>
        <v>776346.00148873148</v>
      </c>
      <c r="AA64" s="118">
        <f t="shared" si="35"/>
        <v>26055017.625374615</v>
      </c>
      <c r="AB64" s="118">
        <f t="shared" si="10"/>
        <v>0.11024316549310725</v>
      </c>
      <c r="AC64" s="118">
        <f t="shared" si="11"/>
        <v>1.3888907072975297E-2</v>
      </c>
      <c r="AD64" s="118">
        <f t="shared" si="36"/>
        <v>180937.85929178077</v>
      </c>
      <c r="AE64" s="118">
        <f>EDisponible!E77</f>
        <v>0.9422051683985706</v>
      </c>
      <c r="AF64" s="118">
        <f t="shared" si="37"/>
        <v>0.14220516839857056</v>
      </c>
      <c r="AG64" s="118">
        <f>IF(AF64&lt;0, 0, 0.00035*(10*AF64/((1/COS(M$1))-0.8))^(3/(1+1/(DATOS!E$6))))</f>
        <v>5.2237862688586524E-2</v>
      </c>
      <c r="AH64" s="118">
        <f t="shared" si="38"/>
        <v>861467.07582329109</v>
      </c>
      <c r="AI64" s="118">
        <f t="shared" si="39"/>
        <v>22132264.425624769</v>
      </c>
      <c r="AJ64" s="118">
        <f t="shared" si="12"/>
        <v>0.12978281683072362</v>
      </c>
      <c r="AK64" s="118">
        <f t="shared" si="13"/>
        <v>1.4183465953436713E-2</v>
      </c>
      <c r="AL64" s="118">
        <f t="shared" si="14"/>
        <v>156956.10947665371</v>
      </c>
      <c r="AM64" s="118">
        <f>EDisponible!F77</f>
        <v>0.96046393439713884</v>
      </c>
      <c r="AN64" s="118">
        <f t="shared" si="40"/>
        <v>0.1604639343971388</v>
      </c>
      <c r="AO64" s="118">
        <f>IF(AN64&lt;0, 0, 0.00035*(10*AN64/((1/COS(M$1))-0.8))^(3/(1+1/(DATOS!E$6))))</f>
        <v>7.1646314016916138E-2</v>
      </c>
      <c r="AP64" s="118">
        <f t="shared" si="41"/>
        <v>949803.69294852088</v>
      </c>
      <c r="AQ64" s="118">
        <f t="shared" si="42"/>
        <v>18678184.863864213</v>
      </c>
      <c r="AR64" s="118">
        <f t="shared" si="15"/>
        <v>0.15378301697597341</v>
      </c>
      <c r="AS64" s="118">
        <f t="shared" si="16"/>
        <v>1.4610896760555219E-2</v>
      </c>
      <c r="AT64" s="118">
        <f t="shared" si="17"/>
        <v>136452.51536024257</v>
      </c>
      <c r="AU64" s="118">
        <f>EDisponible!G77</f>
        <v>0.97982707158296967</v>
      </c>
      <c r="AV64" s="118">
        <f t="shared" si="43"/>
        <v>0.17982707158296962</v>
      </c>
      <c r="AW64" s="118">
        <f>IF(AV64&lt;0, 0, 0.00035*(10*AV64/((1/COS(M$1))-0.8))^(3/(1+1/(DATOS!E$6))))</f>
        <v>9.651546316555934E-2</v>
      </c>
      <c r="AX64" s="118">
        <f t="shared" si="18"/>
        <v>1037819.3469741398</v>
      </c>
      <c r="AY64" s="118">
        <f t="shared" si="44"/>
        <v>15652477.874859955</v>
      </c>
      <c r="AZ64" s="118">
        <f t="shared" si="19"/>
        <v>0.1835100897739298</v>
      </c>
      <c r="BA64" s="118">
        <f t="shared" si="20"/>
        <v>1.5240630071997309E-2</v>
      </c>
      <c r="BB64" s="118">
        <f t="shared" si="21"/>
        <v>119276.81250043158</v>
      </c>
      <c r="BC64" s="118">
        <f>EDisponible!H77</f>
        <v>1.0004105949907056</v>
      </c>
      <c r="BD64" s="118">
        <f t="shared" si="45"/>
        <v>0.20041059499070557</v>
      </c>
      <c r="BE64" s="118">
        <f>IF(BD64&lt;0, 0, 0.00035*(10*BD64/((1/COS(M$1))-0.8))^(3/(1+1/(DATOS!E$6))))</f>
        <v>0.12814201809675349</v>
      </c>
      <c r="BF64" s="118">
        <f t="shared" si="22"/>
        <v>1122146.8640501006</v>
      </c>
      <c r="BG64" s="118">
        <f t="shared" si="46"/>
        <v>13016849.587165896</v>
      </c>
      <c r="BH64" s="118">
        <f t="shared" si="23"/>
        <v>0.22066688262512166</v>
      </c>
      <c r="BI64" s="118">
        <f t="shared" si="24"/>
        <v>1.6183836696791087E-2</v>
      </c>
      <c r="BJ64" s="118">
        <f t="shared" si="25"/>
        <v>105331.28401269266</v>
      </c>
      <c r="BK64" s="118">
        <f>EDisponible!I77</f>
        <v>1.0223483319537754</v>
      </c>
      <c r="BL64" s="118">
        <f t="shared" si="47"/>
        <v>0.22234833195377535</v>
      </c>
      <c r="BM64" s="118">
        <f>IF(BL64&lt;0, 0, 0.00035*(10*BL64/((1/COS(M$1))-0.8))^(3/(1+1/(DATOS!E$6))))</f>
        <v>0.16814343844841173</v>
      </c>
      <c r="BN64" s="118">
        <f t="shared" si="26"/>
        <v>1199680.2076886238</v>
      </c>
    </row>
    <row r="65" spans="1:66">
      <c r="A65" s="41">
        <f>EDisponible!A78</f>
        <v>310</v>
      </c>
      <c r="B65" s="44"/>
      <c r="C65" s="118">
        <f t="shared" si="0"/>
        <v>42426423.34517134</v>
      </c>
      <c r="D65" s="118">
        <f t="shared" si="1"/>
        <v>6.7702799187924337E-2</v>
      </c>
      <c r="E65" s="118">
        <f t="shared" si="2"/>
        <v>1.3413477246722332E-2</v>
      </c>
      <c r="F65" s="118">
        <f t="shared" si="3"/>
        <v>284542.93210013246</v>
      </c>
      <c r="G65" s="118">
        <f>EDisponible!B78</f>
        <v>0.90774538566765284</v>
      </c>
      <c r="H65" s="118">
        <f t="shared" si="27"/>
        <v>0.10774538566765279</v>
      </c>
      <c r="I65" s="118">
        <f>IF(H65&lt;0, 0, 0.00035*(10*H65/((1/COS(M$1))-0.8))^(3/(1+1/(DATOS!E$6))))</f>
        <v>2.5280628920186319E-2</v>
      </c>
      <c r="J65" s="118">
        <f t="shared" si="28"/>
        <v>820826.26460013574</v>
      </c>
      <c r="K65" s="118">
        <f t="shared" si="29"/>
        <v>36650652.785591103</v>
      </c>
      <c r="L65" s="11">
        <f t="shared" si="4"/>
        <v>7.8372072574086737E-2</v>
      </c>
      <c r="M65" s="118">
        <f t="shared" si="5"/>
        <v>1.351136027839331E-2</v>
      </c>
      <c r="N65" s="118">
        <f t="shared" si="6"/>
        <v>247600.08711221037</v>
      </c>
      <c r="O65" s="118">
        <f>EDisponible!C78</f>
        <v>0.92350392681350124</v>
      </c>
      <c r="P65" s="118">
        <f t="shared" si="30"/>
        <v>0.1235039268135012</v>
      </c>
      <c r="Q65" s="118">
        <f>IF(P65&lt;0, 0, 0.00035*(10*P65/((1/COS(M$1))-0.8))^(3/(1+1/(DATOS!E$6))))</f>
        <v>3.6127119045588817E-2</v>
      </c>
      <c r="R65" s="118">
        <f t="shared" si="31"/>
        <v>909641.33525400597</v>
      </c>
      <c r="S65" s="118">
        <f t="shared" si="32"/>
        <v>31496598.93765641</v>
      </c>
      <c r="T65" s="118">
        <f t="shared" si="7"/>
        <v>9.1196755106338095E-2</v>
      </c>
      <c r="U65" s="118">
        <f t="shared" si="8"/>
        <v>1.3647941092066976E-2</v>
      </c>
      <c r="V65" s="118">
        <f t="shared" si="9"/>
        <v>214931.86345079698</v>
      </c>
      <c r="W65" s="118">
        <f>EDisponible!D78</f>
        <v>0.94011274294213698</v>
      </c>
      <c r="X65" s="118">
        <f t="shared" si="33"/>
        <v>0.14011274294213694</v>
      </c>
      <c r="Y65" s="118">
        <f>IF(X65&lt;0, 0, 0.00035*(10*X65/((1/COS(M$1))-0.8))^(3/(1+1/(DATOS!E$6))))</f>
        <v>5.0251406082668149E-2</v>
      </c>
      <c r="Z65" s="118">
        <f t="shared" si="34"/>
        <v>1006306.0551703502</v>
      </c>
      <c r="AA65" s="118">
        <f t="shared" si="35"/>
        <v>26916282.653034136</v>
      </c>
      <c r="AB65" s="118">
        <f t="shared" si="10"/>
        <v>0.10671561363159524</v>
      </c>
      <c r="AC65" s="118">
        <f t="shared" si="11"/>
        <v>1.3840839998474665E-2</v>
      </c>
      <c r="AD65" s="118">
        <f t="shared" si="36"/>
        <v>186271.98077718233</v>
      </c>
      <c r="AE65" s="118">
        <f>EDisponible!E78</f>
        <v>0.95765115476576035</v>
      </c>
      <c r="AF65" s="118">
        <f t="shared" si="37"/>
        <v>0.1576511547657603</v>
      </c>
      <c r="AG65" s="118">
        <f>IF(AF65&lt;0, 0, 0.00035*(10*AF65/((1/COS(M$1))-0.8))^(3/(1+1/(DATOS!E$6))))</f>
        <v>6.8408011358116222E-2</v>
      </c>
      <c r="AH65" s="118">
        <f t="shared" si="38"/>
        <v>1106916.6655006951</v>
      </c>
      <c r="AI65" s="118">
        <f t="shared" si="39"/>
        <v>22863860.374120291</v>
      </c>
      <c r="AJ65" s="118">
        <f t="shared" si="12"/>
        <v>0.12563003679165521</v>
      </c>
      <c r="AK65" s="118">
        <f t="shared" si="13"/>
        <v>1.4116849925699301E-2</v>
      </c>
      <c r="AL65" s="118">
        <f t="shared" si="14"/>
        <v>161382.84281179961</v>
      </c>
      <c r="AM65" s="118">
        <f>EDisponible!F78</f>
        <v>0.97620924479709192</v>
      </c>
      <c r="AN65" s="118">
        <f t="shared" si="40"/>
        <v>0.17620924479709188</v>
      </c>
      <c r="AO65" s="118">
        <f>IF(AN65&lt;0, 0, 0.00035*(10*AN65/((1/COS(M$1))-0.8))^(3/(1+1/(DATOS!E$6))))</f>
        <v>9.1519263209257004E-2</v>
      </c>
      <c r="AP65" s="118">
        <f t="shared" si="41"/>
        <v>1207624.6705912077</v>
      </c>
      <c r="AQ65" s="118">
        <f t="shared" si="42"/>
        <v>19295604.035660852</v>
      </c>
      <c r="AR65" s="118">
        <f t="shared" si="15"/>
        <v>0.14886228048064443</v>
      </c>
      <c r="AS65" s="118">
        <f t="shared" si="16"/>
        <v>1.4517364572487552E-2</v>
      </c>
      <c r="AT65" s="118">
        <f t="shared" si="17"/>
        <v>140060.65921602535</v>
      </c>
      <c r="AU65" s="118">
        <f>EDisponible!G78</f>
        <v>0.99588981046137903</v>
      </c>
      <c r="AV65" s="118">
        <f t="shared" si="43"/>
        <v>0.19588981046137899</v>
      </c>
      <c r="AW65" s="118">
        <f>IF(AV65&lt;0, 0, 0.00035*(10*AV65/((1/COS(M$1))-0.8))^(3/(1+1/(DATOS!E$6))))</f>
        <v>0.12071914593896217</v>
      </c>
      <c r="AX65" s="118">
        <f t="shared" si="18"/>
        <v>1304735.0789967102</v>
      </c>
      <c r="AY65" s="118">
        <f t="shared" si="44"/>
        <v>16169880.395313535</v>
      </c>
      <c r="AZ65" s="118">
        <f t="shared" si="19"/>
        <v>0.17763814881602311</v>
      </c>
      <c r="BA65" s="118">
        <f t="shared" si="20"/>
        <v>1.5107442336192347E-2</v>
      </c>
      <c r="BB65" s="118">
        <f t="shared" si="21"/>
        <v>122142.76782766316</v>
      </c>
      <c r="BC65" s="118">
        <f>EDisponible!H78</f>
        <v>1.0168107686790777</v>
      </c>
      <c r="BD65" s="118">
        <f t="shared" si="45"/>
        <v>0.21681076867907767</v>
      </c>
      <c r="BE65" s="118">
        <f>IF(BD65&lt;0, 0, 0.00035*(10*BD65/((1/COS(M$1))-0.8))^(3/(1+1/(DATOS!E$6))))</f>
        <v>0.15741044516444483</v>
      </c>
      <c r="BF65" s="118">
        <f t="shared" si="22"/>
        <v>1394796.8034687296</v>
      </c>
      <c r="BG65" s="118">
        <f t="shared" si="46"/>
        <v>13447129.753578531</v>
      </c>
      <c r="BH65" s="118">
        <f t="shared" si="23"/>
        <v>0.21360600162541041</v>
      </c>
      <c r="BI65" s="118">
        <f t="shared" si="24"/>
        <v>1.599125338089526E-2</v>
      </c>
      <c r="BJ65" s="118">
        <f t="shared" si="25"/>
        <v>107518.22956762496</v>
      </c>
      <c r="BK65" s="118">
        <f>EDisponible!I78</f>
        <v>1.0391081406743292</v>
      </c>
      <c r="BL65" s="118">
        <f t="shared" si="47"/>
        <v>0.23910814067432917</v>
      </c>
      <c r="BM65" s="118">
        <f>IF(BL65&lt;0, 0, 0.00035*(10*BL65/((1/COS(M$1))-0.8))^(3/(1+1/(DATOS!E$6))))</f>
        <v>0.20333996076262176</v>
      </c>
      <c r="BN65" s="118">
        <f t="shared" si="26"/>
        <v>1474687.6477988961</v>
      </c>
    </row>
    <row r="66" spans="1:66">
      <c r="A66" s="41">
        <f>EDisponible!A79</f>
        <v>315</v>
      </c>
      <c r="B66" s="44"/>
      <c r="C66" s="118">
        <f t="shared" si="0"/>
        <v>43806054.697446689</v>
      </c>
      <c r="D66" s="118">
        <f t="shared" si="1"/>
        <v>6.5570561874119707E-2</v>
      </c>
      <c r="E66" s="118">
        <f t="shared" si="2"/>
        <v>1.3395629806154224E-2</v>
      </c>
      <c r="F66" s="118">
        <f t="shared" si="3"/>
        <v>293404.84599756956</v>
      </c>
      <c r="G66" s="118">
        <f>EDisponible!B79</f>
        <v>0.92238644027519567</v>
      </c>
      <c r="H66" s="118">
        <f t="shared" si="27"/>
        <v>0.12238644027519563</v>
      </c>
      <c r="I66" s="118">
        <f>IF(H66&lt;0, 0, 0.00035*(10*H66/((1/COS(M$1))-0.8))^(3/(1+1/(DATOS!E$6))))</f>
        <v>3.527842564659206E-2</v>
      </c>
      <c r="J66" s="118">
        <f t="shared" si="28"/>
        <v>1066109.1677547786</v>
      </c>
      <c r="K66" s="118">
        <f t="shared" si="29"/>
        <v>37842466.416756265</v>
      </c>
      <c r="L66" s="11">
        <f t="shared" si="4"/>
        <v>7.5903816320178744E-2</v>
      </c>
      <c r="M66" s="118">
        <f t="shared" si="5"/>
        <v>1.3487444453868328E-2</v>
      </c>
      <c r="N66" s="118">
        <f t="shared" si="6"/>
        <v>255199.08189668888</v>
      </c>
      <c r="O66" s="118">
        <f>EDisponible!C79</f>
        <v>0.93839915143952546</v>
      </c>
      <c r="P66" s="118">
        <f t="shared" si="30"/>
        <v>0.13839915143952541</v>
      </c>
      <c r="Q66" s="118">
        <f>IF(P66&lt;0, 0, 0.00035*(10*P66/((1/COS(M$1))-0.8))^(3/(1+1/(DATOS!E$6))))</f>
        <v>4.8659882878440607E-2</v>
      </c>
      <c r="R66" s="118">
        <f t="shared" si="31"/>
        <v>1175904.0737320296</v>
      </c>
      <c r="S66" s="118">
        <f t="shared" si="32"/>
        <v>32520811.962424114</v>
      </c>
      <c r="T66" s="118">
        <f t="shared" si="7"/>
        <v>8.8324597286158629E-2</v>
      </c>
      <c r="U66" s="118">
        <f t="shared" si="8"/>
        <v>1.361555776500999E-2</v>
      </c>
      <c r="V66" s="118">
        <f t="shared" si="9"/>
        <v>221394.4969197067</v>
      </c>
      <c r="W66" s="118">
        <f>EDisponible!D79</f>
        <v>0.95527585169926821</v>
      </c>
      <c r="X66" s="118">
        <f t="shared" si="33"/>
        <v>0.15527585169926816</v>
      </c>
      <c r="Y66" s="118">
        <f>IF(X66&lt;0, 0, 0.00035*(10*X66/((1/COS(M$1))-0.8))^(3/(1+1/(DATOS!E$6))))</f>
        <v>6.5745058646040327E-2</v>
      </c>
      <c r="Z66" s="118">
        <f t="shared" si="34"/>
        <v>1290435.8417629183</v>
      </c>
      <c r="AA66" s="118">
        <f t="shared" si="35"/>
        <v>27791551.9900865</v>
      </c>
      <c r="AB66" s="118">
        <f t="shared" si="10"/>
        <v>0.1033547036532759</v>
      </c>
      <c r="AC66" s="118">
        <f t="shared" si="11"/>
        <v>1.3796497656571491E-2</v>
      </c>
      <c r="AD66" s="118">
        <f t="shared" si="36"/>
        <v>191713.04095185659</v>
      </c>
      <c r="AE66" s="118">
        <f>EDisponible!E79</f>
        <v>0.97309714113294998</v>
      </c>
      <c r="AF66" s="118">
        <f t="shared" si="37"/>
        <v>0.17309714113294994</v>
      </c>
      <c r="AG66" s="118">
        <f>IF(AF66&lt;0, 0, 0.00035*(10*AF66/((1/COS(M$1))-0.8))^(3/(1+1/(DATOS!E$6))))</f>
        <v>8.7351947184383924E-2</v>
      </c>
      <c r="AH66" s="118">
        <f t="shared" si="38"/>
        <v>1405536.1317569045</v>
      </c>
      <c r="AI66" s="118">
        <f t="shared" si="39"/>
        <v>23607352.191697046</v>
      </c>
      <c r="AJ66" s="118">
        <f t="shared" si="12"/>
        <v>0.1216734344739538</v>
      </c>
      <c r="AK66" s="118">
        <f t="shared" si="13"/>
        <v>1.4055395994731967E-2</v>
      </c>
      <c r="AL66" s="118">
        <f t="shared" si="14"/>
        <v>165905.3417207028</v>
      </c>
      <c r="AM66" s="118">
        <f>EDisponible!F79</f>
        <v>0.99195455519704501</v>
      </c>
      <c r="AN66" s="118">
        <f t="shared" si="40"/>
        <v>0.19195455519704496</v>
      </c>
      <c r="AO66" s="118">
        <f>IF(AN66&lt;0, 0, 0.00035*(10*AN66/((1/COS(M$1))-0.8))^(3/(1+1/(DATOS!E$6))))</f>
        <v>0.11447895656511355</v>
      </c>
      <c r="AP66" s="118">
        <f t="shared" si="41"/>
        <v>1517177.864806015</v>
      </c>
      <c r="AQ66" s="118">
        <f t="shared" si="42"/>
        <v>19923062.543584269</v>
      </c>
      <c r="AR66" s="118">
        <f t="shared" si="15"/>
        <v>0.14417400004222652</v>
      </c>
      <c r="AS66" s="118">
        <f t="shared" si="16"/>
        <v>1.4431080222850383E-2</v>
      </c>
      <c r="AT66" s="118">
        <f t="shared" si="17"/>
        <v>143755.6569256651</v>
      </c>
      <c r="AU66" s="118">
        <f>EDisponible!G79</f>
        <v>1.0119525493397883</v>
      </c>
      <c r="AV66" s="118">
        <f t="shared" si="43"/>
        <v>0.21195254933978824</v>
      </c>
      <c r="AW66" s="118">
        <f>IF(AV66&lt;0, 0, 0.00035*(10*AV66/((1/COS(M$1))-0.8))^(3/(1+1/(DATOS!E$6))))</f>
        <v>0.14835165533429781</v>
      </c>
      <c r="AX66" s="118">
        <f t="shared" si="18"/>
        <v>1621565.3107604012</v>
      </c>
      <c r="AY66" s="118">
        <f t="shared" si="44"/>
        <v>16695695.964880183</v>
      </c>
      <c r="AZ66" s="118">
        <f t="shared" si="19"/>
        <v>0.17204359890370188</v>
      </c>
      <c r="BA66" s="118">
        <f t="shared" si="20"/>
        <v>1.4984575359582496E-2</v>
      </c>
      <c r="BB66" s="118">
        <f t="shared" si="21"/>
        <v>125088.95718321225</v>
      </c>
      <c r="BC66" s="118">
        <f>EDisponible!H79</f>
        <v>1.03321094236745</v>
      </c>
      <c r="BD66" s="118">
        <f t="shared" si="45"/>
        <v>0.23321094236744999</v>
      </c>
      <c r="BE66" s="118">
        <f>IF(BD66&lt;0, 0, 0.00035*(10*BD66/((1/COS(M$1))-0.8))^(3/(1+1/(DATOS!E$6))))</f>
        <v>0.1904836667244276</v>
      </c>
      <c r="BF66" s="118">
        <f t="shared" si="22"/>
        <v>1715217.650136516</v>
      </c>
      <c r="BG66" s="118">
        <f t="shared" si="46"/>
        <v>13884406.345461287</v>
      </c>
      <c r="BH66" s="118">
        <f t="shared" si="23"/>
        <v>0.20687867731118106</v>
      </c>
      <c r="BI66" s="118">
        <f t="shared" si="24"/>
        <v>1.5813593406224097E-2</v>
      </c>
      <c r="BJ66" s="118">
        <f t="shared" si="25"/>
        <v>109781.1783169613</v>
      </c>
      <c r="BK66" s="118">
        <f>EDisponible!I79</f>
        <v>1.0558679493948828</v>
      </c>
      <c r="BL66" s="118">
        <f t="shared" si="47"/>
        <v>0.25586794939488278</v>
      </c>
      <c r="BM66" s="118">
        <f>IF(BL66&lt;0, 0, 0.00035*(10*BL66/((1/COS(M$1))-0.8))^(3/(1+1/(DATOS!E$6))))</f>
        <v>0.24275676558294954</v>
      </c>
      <c r="BN66" s="118">
        <f t="shared" si="26"/>
        <v>1795047.9665487425</v>
      </c>
    </row>
    <row r="67" spans="1:66">
      <c r="A67" s="41">
        <f>EDisponible!A80</f>
        <v>320</v>
      </c>
      <c r="B67" s="44"/>
      <c r="C67" s="118">
        <f t="shared" si="0"/>
        <v>45207760.151358433</v>
      </c>
      <c r="D67" s="118">
        <f t="shared" si="1"/>
        <v>6.353749025351102E-2</v>
      </c>
      <c r="E67" s="118">
        <f t="shared" si="2"/>
        <v>1.3379144270542242E-2</v>
      </c>
      <c r="F67" s="118">
        <f t="shared" si="3"/>
        <v>302420.57260654756</v>
      </c>
      <c r="G67" s="118">
        <f>EDisponible!B80</f>
        <v>0.93702749488273851</v>
      </c>
      <c r="H67" s="118">
        <f t="shared" si="27"/>
        <v>0.13702749488273847</v>
      </c>
      <c r="I67" s="118">
        <f>IF(H67&lt;0, 0, 0.00035*(10*H67/((1/COS(M$1))-0.8))^(3/(1+1/(DATOS!E$6))))</f>
        <v>4.740865842675579E-2</v>
      </c>
      <c r="J67" s="118">
        <f t="shared" si="28"/>
        <v>1374040.2022337744</v>
      </c>
      <c r="K67" s="118">
        <f t="shared" si="29"/>
        <v>39053349.066020072</v>
      </c>
      <c r="L67" s="11">
        <f t="shared" si="4"/>
        <v>7.3550353265329452E-2</v>
      </c>
      <c r="M67" s="118">
        <f t="shared" si="5"/>
        <v>1.3465353601379314E-2</v>
      </c>
      <c r="N67" s="118">
        <f t="shared" si="6"/>
        <v>262933.57724602841</v>
      </c>
      <c r="O67" s="118">
        <f>EDisponible!C80</f>
        <v>0.95329437606554968</v>
      </c>
      <c r="P67" s="118">
        <f t="shared" si="30"/>
        <v>0.15329437606554963</v>
      </c>
      <c r="Q67" s="118">
        <f>IF(P67&lt;0, 0, 0.00035*(10*P67/((1/COS(M$1))-0.8))^(3/(1+1/(DATOS!E$6))))</f>
        <v>6.3573378475032583E-2</v>
      </c>
      <c r="R67" s="118">
        <f t="shared" si="31"/>
        <v>1504310.2476918558</v>
      </c>
      <c r="S67" s="118">
        <f t="shared" si="32"/>
        <v>33561412.3955881</v>
      </c>
      <c r="T67" s="118">
        <f t="shared" si="7"/>
        <v>8.5586017243350493E-2</v>
      </c>
      <c r="U67" s="118">
        <f t="shared" si="8"/>
        <v>1.3585645549339897E-2</v>
      </c>
      <c r="V67" s="118">
        <f t="shared" si="9"/>
        <v>227976.72647084115</v>
      </c>
      <c r="W67" s="118">
        <f>EDisponible!D80</f>
        <v>0.97043896045639944</v>
      </c>
      <c r="X67" s="118">
        <f t="shared" si="33"/>
        <v>0.17043896045639939</v>
      </c>
      <c r="Y67" s="118">
        <f>IF(X67&lt;0, 0, 0.00035*(10*X67/((1/COS(M$1))-0.8))^(3/(1+1/(DATOS!E$6))))</f>
        <v>8.3886976600046528E-2</v>
      </c>
      <c r="Z67" s="118">
        <f t="shared" si="34"/>
        <v>1635659.4346174465</v>
      </c>
      <c r="AA67" s="118">
        <f t="shared" si="35"/>
        <v>28680825.636531692</v>
      </c>
      <c r="AB67" s="118">
        <f t="shared" si="10"/>
        <v>0.10015010224605764</v>
      </c>
      <c r="AC67" s="118">
        <f t="shared" si="11"/>
        <v>1.3755538996209304E-2</v>
      </c>
      <c r="AD67" s="118">
        <f t="shared" si="36"/>
        <v>197260.10774339561</v>
      </c>
      <c r="AE67" s="118">
        <f>EDisponible!E80</f>
        <v>0.98854312750013973</v>
      </c>
      <c r="AF67" s="118">
        <f t="shared" si="37"/>
        <v>0.18854312750013968</v>
      </c>
      <c r="AG67" s="118">
        <f>IF(AF67&lt;0, 0, 0.00035*(10*AF67/((1/COS(M$1))-0.8))^(3/(1+1/(DATOS!E$6))))</f>
        <v>0.10923398812774723</v>
      </c>
      <c r="AH67" s="118">
        <f t="shared" si="38"/>
        <v>1763720.5912808413</v>
      </c>
      <c r="AI67" s="118">
        <f t="shared" si="39"/>
        <v>24362739.878355026</v>
      </c>
      <c r="AJ67" s="118">
        <f t="shared" si="12"/>
        <v>0.11790084507498111</v>
      </c>
      <c r="AK67" s="118">
        <f t="shared" si="13"/>
        <v>1.3998631498803702E-2</v>
      </c>
      <c r="AL67" s="118">
        <f t="shared" si="14"/>
        <v>170522.50892915088</v>
      </c>
      <c r="AM67" s="118">
        <f>EDisponible!F80</f>
        <v>1.007699865596998</v>
      </c>
      <c r="AN67" s="118">
        <f t="shared" si="40"/>
        <v>0.20769986559699793</v>
      </c>
      <c r="AO67" s="118">
        <f>IF(AN67&lt;0, 0, 0.00035*(10*AN67/((1/COS(M$1))-0.8))^(3/(1+1/(DATOS!E$6))))</f>
        <v>0.14069240677904937</v>
      </c>
      <c r="AP67" s="118">
        <f t="shared" si="41"/>
        <v>1884348.7635379974</v>
      </c>
      <c r="AQ67" s="118">
        <f t="shared" si="42"/>
        <v>20560560.387634456</v>
      </c>
      <c r="AR67" s="118">
        <f t="shared" si="15"/>
        <v>0.13970376127138603</v>
      </c>
      <c r="AS67" s="118">
        <f t="shared" si="16"/>
        <v>1.4351380071264385E-2</v>
      </c>
      <c r="AT67" s="118">
        <f t="shared" si="17"/>
        <v>147536.20830056255</v>
      </c>
      <c r="AU67" s="118">
        <f>EDisponible!G80</f>
        <v>1.0280152882181977</v>
      </c>
      <c r="AV67" s="118">
        <f t="shared" si="43"/>
        <v>0.22801528821819761</v>
      </c>
      <c r="AW67" s="118">
        <f>IF(AV67&lt;0, 0, 0.00035*(10*AV67/((1/COS(M$1))-0.8))^(3/(1+1/(DATOS!E$6))))</f>
        <v>0.17958345259700004</v>
      </c>
      <c r="AX67" s="118">
        <f t="shared" si="18"/>
        <v>1993704.4191708171</v>
      </c>
      <c r="AY67" s="118">
        <f t="shared" si="44"/>
        <v>17229924.583559897</v>
      </c>
      <c r="AZ67" s="118">
        <f t="shared" si="19"/>
        <v>0.16670923926972478</v>
      </c>
      <c r="BA67" s="118">
        <f t="shared" si="20"/>
        <v>1.487108413316778E-2</v>
      </c>
      <c r="BB67" s="118">
        <f t="shared" si="21"/>
        <v>128113.82904512752</v>
      </c>
      <c r="BC67" s="118">
        <f>EDisponible!H80</f>
        <v>1.0496111160558221</v>
      </c>
      <c r="BD67" s="118">
        <f t="shared" si="45"/>
        <v>0.24961111605582209</v>
      </c>
      <c r="BE67" s="118">
        <f>IF(BD67&lt;0, 0, 0.00035*(10*BD67/((1/COS(M$1))-0.8))^(3/(1+1/(DATOS!E$6))))</f>
        <v>0.22753636446808148</v>
      </c>
      <c r="BF67" s="118">
        <f t="shared" si="22"/>
        <v>2088331.0289463485</v>
      </c>
      <c r="BG67" s="118">
        <f t="shared" si="46"/>
        <v>14328679.362814168</v>
      </c>
      <c r="BH67" s="118">
        <f t="shared" si="23"/>
        <v>0.20046422613478457</v>
      </c>
      <c r="BI67" s="118">
        <f t="shared" si="24"/>
        <v>1.5649490333400365E-2</v>
      </c>
      <c r="BJ67" s="118">
        <f t="shared" si="25"/>
        <v>112118.26458937681</v>
      </c>
      <c r="BK67" s="118">
        <f>EDisponible!I80</f>
        <v>1.0726277581154366</v>
      </c>
      <c r="BL67" s="118">
        <f t="shared" si="47"/>
        <v>0.2726277581154366</v>
      </c>
      <c r="BM67" s="118">
        <f>IF(BL67&lt;0, 0, 0.00035*(10*BL67/((1/COS(M$1))-0.8))^(3/(1+1/(DATOS!E$6))))</f>
        <v>0.28657356777273252</v>
      </c>
      <c r="BN67" s="118">
        <f t="shared" si="26"/>
        <v>2165228.6478259666</v>
      </c>
    </row>
    <row r="68" spans="1:66">
      <c r="A68" s="41">
        <f>EDisponible!A81</f>
        <v>325</v>
      </c>
      <c r="B68" s="44"/>
      <c r="C68" s="118">
        <f t="shared" si="0"/>
        <v>46631539.706906587</v>
      </c>
      <c r="D68" s="118">
        <f t="shared" si="1"/>
        <v>6.1597529012634586E-2</v>
      </c>
      <c r="E68" s="118">
        <f t="shared" si="2"/>
        <v>1.3363897812156326E-2</v>
      </c>
      <c r="F68" s="118">
        <f t="shared" si="3"/>
        <v>311589.56573330489</v>
      </c>
      <c r="G68" s="118">
        <f>EDisponible!B81</f>
        <v>0.95166854949028123</v>
      </c>
      <c r="H68" s="118">
        <f t="shared" si="27"/>
        <v>0.15166854949028119</v>
      </c>
      <c r="I68" s="118">
        <f>IF(H68&lt;0, 0, 0.00035*(10*H68/((1/COS(M$1))-0.8))^(3/(1+1/(DATOS!E$6))))</f>
        <v>6.1825019143975792E-2</v>
      </c>
      <c r="J68" s="118">
        <f t="shared" si="28"/>
        <v>1753087.4832795882</v>
      </c>
      <c r="K68" s="118">
        <f t="shared" si="29"/>
        <v>40283300.733382516</v>
      </c>
      <c r="L68" s="11">
        <f t="shared" si="4"/>
        <v>7.130467384018685E-2</v>
      </c>
      <c r="M68" s="118">
        <f t="shared" si="5"/>
        <v>1.3444923130018811E-2</v>
      </c>
      <c r="N68" s="118">
        <f t="shared" si="6"/>
        <v>270802.94089187915</v>
      </c>
      <c r="O68" s="118">
        <f>EDisponible!C81</f>
        <v>0.96818960069157389</v>
      </c>
      <c r="P68" s="118">
        <f t="shared" si="30"/>
        <v>0.16818960069157385</v>
      </c>
      <c r="Q68" s="118">
        <f>IF(P68&lt;0, 0, 0.00035*(10*P68/((1/COS(M$1))-0.8))^(3/(1+1/(DATOS!E$6))))</f>
        <v>8.1022279997395169E-2</v>
      </c>
      <c r="R68" s="118">
        <f t="shared" si="31"/>
        <v>1902725.3765115754</v>
      </c>
      <c r="S68" s="118">
        <f t="shared" si="32"/>
        <v>34618400.237148374</v>
      </c>
      <c r="T68" s="118">
        <f t="shared" si="7"/>
        <v>8.2972858373671854E-2</v>
      </c>
      <c r="U68" s="118">
        <f t="shared" si="8"/>
        <v>1.3557981580016806E-2</v>
      </c>
      <c r="V68" s="118">
        <f t="shared" si="9"/>
        <v>234677.81637245353</v>
      </c>
      <c r="W68" s="118">
        <f>EDisponible!D81</f>
        <v>0.98560206921353066</v>
      </c>
      <c r="X68" s="118">
        <f t="shared" si="33"/>
        <v>0.18560206921353062</v>
      </c>
      <c r="Y68" s="118">
        <f>IF(X68&lt;0, 0, 0.00035*(10*X68/((1/COS(M$1))-0.8))^(3/(1+1/(DATOS!E$6))))</f>
        <v>0.10483353332662579</v>
      </c>
      <c r="Z68" s="118">
        <f t="shared" si="34"/>
        <v>2049262.4238602356</v>
      </c>
      <c r="AA68" s="118">
        <f t="shared" si="35"/>
        <v>29584103.592369724</v>
      </c>
      <c r="AB68" s="118">
        <f t="shared" si="10"/>
        <v>9.7092264804698722E-2</v>
      </c>
      <c r="AC68" s="118">
        <f t="shared" si="11"/>
        <v>1.37176588493064E-2</v>
      </c>
      <c r="AD68" s="118">
        <f t="shared" si="36"/>
        <v>202912.32022133391</v>
      </c>
      <c r="AE68" s="118">
        <f>EDisponible!E81</f>
        <v>1.0039891138673294</v>
      </c>
      <c r="AF68" s="118">
        <f t="shared" si="37"/>
        <v>0.20398911386732932</v>
      </c>
      <c r="AG68" s="118">
        <f>IF(AF68&lt;0, 0, 0.00035*(10*AF68/((1/COS(M$1))-0.8))^(3/(1+1/(DATOS!E$6))))</f>
        <v>0.13421288956937114</v>
      </c>
      <c r="AH68" s="118">
        <f t="shared" si="38"/>
        <v>2188196.3344471105</v>
      </c>
      <c r="AI68" s="118">
        <f t="shared" si="39"/>
        <v>25130023.434094232</v>
      </c>
      <c r="AJ68" s="118">
        <f t="shared" si="12"/>
        <v>0.11430103229044324</v>
      </c>
      <c r="AK68" s="118">
        <f t="shared" si="13"/>
        <v>1.3946133506300584E-2</v>
      </c>
      <c r="AL68" s="118">
        <f t="shared" si="14"/>
        <v>175233.33091417022</v>
      </c>
      <c r="AM68" s="118">
        <f>EDisponible!F81</f>
        <v>1.0234451759969512</v>
      </c>
      <c r="AN68" s="118">
        <f t="shared" si="40"/>
        <v>0.22344517599695113</v>
      </c>
      <c r="AO68" s="118">
        <f>IF(AN68&lt;0, 0, 0.00035*(10*AN68/((1/COS(M$1))-0.8))^(3/(1+1/(DATOS!E$6))))</f>
        <v>0.17032142492317601</v>
      </c>
      <c r="AP68" s="118">
        <f t="shared" si="41"/>
        <v>2315324.0307380375</v>
      </c>
      <c r="AQ68" s="118">
        <f t="shared" si="42"/>
        <v>21208097.567811422</v>
      </c>
      <c r="AR68" s="118">
        <f t="shared" si="15"/>
        <v>0.13543824998049636</v>
      </c>
      <c r="AS68" s="118">
        <f t="shared" si="16"/>
        <v>1.4277670300887019E-2</v>
      </c>
      <c r="AT68" s="118">
        <f t="shared" si="17"/>
        <v>151401.11239112768</v>
      </c>
      <c r="AU68" s="118">
        <f>EDisponible!G81</f>
        <v>1.044078027096607</v>
      </c>
      <c r="AV68" s="118">
        <f t="shared" si="43"/>
        <v>0.24407802709660698</v>
      </c>
      <c r="AW68" s="118">
        <f>IF(AV68&lt;0, 0, 0.00035*(10*AV68/((1/COS(M$1))-0.8))^(3/(1+1/(DATOS!E$6))))</f>
        <v>0.2145800901168079</v>
      </c>
      <c r="AX68" s="118">
        <f t="shared" si="18"/>
        <v>2426818.8560446426</v>
      </c>
      <c r="AY68" s="118">
        <f t="shared" si="44"/>
        <v>17772566.251352675</v>
      </c>
      <c r="AZ68" s="118">
        <f t="shared" si="19"/>
        <v>0.16161918202338291</v>
      </c>
      <c r="BA68" s="118">
        <f t="shared" si="20"/>
        <v>1.4766123075096923E-2</v>
      </c>
      <c r="BB68" s="118">
        <f t="shared" si="21"/>
        <v>131215.95031389379</v>
      </c>
      <c r="BC68" s="118">
        <f>EDisponible!H81</f>
        <v>1.0660112897441945</v>
      </c>
      <c r="BD68" s="118">
        <f t="shared" si="45"/>
        <v>0.26601128974419441</v>
      </c>
      <c r="BE68" s="118">
        <f>IF(BD68&lt;0, 0, 0.00035*(10*BD68/((1/COS(M$1))-0.8))^(3/(1+1/(DATOS!E$6))))</f>
        <v>0.26873854889756249</v>
      </c>
      <c r="BF68" s="118">
        <f t="shared" si="22"/>
        <v>2519302.7826010487</v>
      </c>
      <c r="BG68" s="118">
        <f t="shared" si="46"/>
        <v>14779948.805637171</v>
      </c>
      <c r="BH68" s="118">
        <f t="shared" si="23"/>
        <v>0.19434354325398287</v>
      </c>
      <c r="BI68" s="118">
        <f t="shared" si="24"/>
        <v>1.5497721490112715E-2</v>
      </c>
      <c r="BJ68" s="118">
        <f t="shared" si="25"/>
        <v>114527.76511394448</v>
      </c>
      <c r="BK68" s="118">
        <f>EDisponible!I81</f>
        <v>1.0893875668359903</v>
      </c>
      <c r="BL68" s="118">
        <f t="shared" si="47"/>
        <v>0.28938756683599021</v>
      </c>
      <c r="BM68" s="118">
        <f>IF(BL68&lt;0, 0, 0.00035*(10*BL68/((1/COS(M$1))-0.8))^(3/(1+1/(DATOS!E$6))))</f>
        <v>0.33496560302158057</v>
      </c>
      <c r="BN68" s="118">
        <f t="shared" si="26"/>
        <v>2589914.9972681166</v>
      </c>
    </row>
    <row r="69" spans="1:66">
      <c r="A69" s="41">
        <f>EDisponible!A82</f>
        <v>330</v>
      </c>
      <c r="B69" s="44"/>
      <c r="C69" s="118">
        <f t="shared" si="0"/>
        <v>48077393.364091143</v>
      </c>
      <c r="D69" s="118">
        <f t="shared" si="1"/>
        <v>5.9745078071253704E-2</v>
      </c>
      <c r="E69" s="118">
        <f t="shared" si="2"/>
        <v>1.3349780335060435E-2</v>
      </c>
      <c r="F69" s="118">
        <f t="shared" si="3"/>
        <v>320911.3202464545</v>
      </c>
      <c r="G69" s="118">
        <f>EDisponible!B82</f>
        <v>0.96630960409782407</v>
      </c>
      <c r="H69" s="118">
        <f t="shared" si="27"/>
        <v>0.16630960409782403</v>
      </c>
      <c r="I69" s="118">
        <f>IF(H69&lt;0, 0, 0.00035*(10*H69/((1/COS(M$1))-0.8))^(3/(1+1/(DATOS!E$6))))</f>
        <v>7.8674981606231736E-2</v>
      </c>
      <c r="J69" s="118">
        <f t="shared" si="28"/>
        <v>2212155.3395441738</v>
      </c>
      <c r="K69" s="118">
        <f t="shared" si="29"/>
        <v>41532321.418843612</v>
      </c>
      <c r="L69" s="11">
        <f t="shared" si="4"/>
        <v>6.9160295448757902E-2</v>
      </c>
      <c r="M69" s="118">
        <f t="shared" si="5"/>
        <v>1.3426005509664657E-2</v>
      </c>
      <c r="N69" s="118">
        <f t="shared" si="6"/>
        <v>278806.58809927892</v>
      </c>
      <c r="O69" s="118">
        <f>EDisponible!C82</f>
        <v>0.98308482531759811</v>
      </c>
      <c r="P69" s="118">
        <f t="shared" si="30"/>
        <v>0.18308482531759807</v>
      </c>
      <c r="Q69" s="118">
        <f>IF(P69&lt;0, 0, 0.00035*(10*P69/((1/COS(M$1))-0.8))^(3/(1+1/(DATOS!E$6))))</f>
        <v>0.10115556497832225</v>
      </c>
      <c r="R69" s="118">
        <f t="shared" si="31"/>
        <v>2379419.3070914787</v>
      </c>
      <c r="S69" s="118">
        <f t="shared" si="32"/>
        <v>35691775.487104923</v>
      </c>
      <c r="T69" s="118">
        <f t="shared" si="7"/>
        <v>8.0477577279330498E-2</v>
      </c>
      <c r="U69" s="118">
        <f t="shared" si="8"/>
        <v>1.3532366093231957E-2</v>
      </c>
      <c r="V69" s="118">
        <f t="shared" si="9"/>
        <v>241497.0862044731</v>
      </c>
      <c r="W69" s="118">
        <f>EDisponible!D82</f>
        <v>1.0007651779706619</v>
      </c>
      <c r="X69" s="118">
        <f t="shared" si="33"/>
        <v>0.20076517797066185</v>
      </c>
      <c r="Y69" s="118">
        <f>IF(X69&lt;0, 0, 0.00035*(10*X69/((1/COS(M$1))-0.8))^(3/(1+1/(DATOS!E$6))))</f>
        <v>0.12873582430871935</v>
      </c>
      <c r="Z69" s="118">
        <f t="shared" si="34"/>
        <v>2538902.1553915711</v>
      </c>
      <c r="AA69" s="118">
        <f t="shared" si="35"/>
        <v>30501385.8576006</v>
      </c>
      <c r="AB69" s="118">
        <f t="shared" si="10"/>
        <v>9.4172364279121235E-2</v>
      </c>
      <c r="AC69" s="118">
        <f t="shared" si="11"/>
        <v>1.3682583680191405E-2</v>
      </c>
      <c r="AD69" s="118">
        <f t="shared" si="36"/>
        <v>208668.88217921343</v>
      </c>
      <c r="AE69" s="118">
        <f>EDisponible!E82</f>
        <v>1.019435100234519</v>
      </c>
      <c r="AF69" s="118">
        <f t="shared" si="37"/>
        <v>0.21943510023451895</v>
      </c>
      <c r="AG69" s="118">
        <f>IF(AF69&lt;0, 0, 0.00035*(10*AF69/((1/COS(M$1))-0.8))^(3/(1+1/(DATOS!E$6))))</f>
        <v>0.16244246861393186</v>
      </c>
      <c r="AH69" s="118">
        <f t="shared" si="38"/>
        <v>2686029.0896065687</v>
      </c>
      <c r="AI69" s="118">
        <f t="shared" si="39"/>
        <v>25909202.85891467</v>
      </c>
      <c r="AJ69" s="118">
        <f t="shared" si="12"/>
        <v>0.11086360455168105</v>
      </c>
      <c r="AK69" s="118">
        <f t="shared" si="13"/>
        <v>1.3897522924880069E-2</v>
      </c>
      <c r="AL69" s="118">
        <f t="shared" si="14"/>
        <v>180036.87034856743</v>
      </c>
      <c r="AM69" s="118">
        <f>EDisponible!F82</f>
        <v>1.0391904863969044</v>
      </c>
      <c r="AN69" s="118">
        <f t="shared" si="40"/>
        <v>0.23919048639690432</v>
      </c>
      <c r="AO69" s="118">
        <f>IF(AN69&lt;0, 0, 0.00035*(10*AN69/((1/COS(M$1))-0.8))^(3/(1+1/(DATOS!E$6))))</f>
        <v>0.20352316089245079</v>
      </c>
      <c r="AP69" s="118">
        <f t="shared" si="41"/>
        <v>2816598.3013735856</v>
      </c>
      <c r="AQ69" s="118">
        <f t="shared" si="42"/>
        <v>21865674.084115159</v>
      </c>
      <c r="AR69" s="118">
        <f t="shared" si="15"/>
        <v>0.13136515293103698</v>
      </c>
      <c r="AS69" s="118">
        <f t="shared" si="16"/>
        <v>1.420941864737468E-2</v>
      </c>
      <c r="AT69" s="118">
        <f t="shared" si="17"/>
        <v>155349.25853412159</v>
      </c>
      <c r="AU69" s="118">
        <f>EDisponible!G82</f>
        <v>1.0601407659750164</v>
      </c>
      <c r="AV69" s="118">
        <f t="shared" si="43"/>
        <v>0.26014076597501634</v>
      </c>
      <c r="AW69" s="118">
        <f>IF(AV69&lt;0, 0, 0.00035*(10*AV69/((1/COS(M$1))-0.8))^(3/(1+1/(DATOS!E$6))))</f>
        <v>0.25350268557957156</v>
      </c>
      <c r="AX69" s="118">
        <f t="shared" si="18"/>
        <v>2926852.8096995372</v>
      </c>
      <c r="AY69" s="118">
        <f t="shared" si="44"/>
        <v>18323620.968258522</v>
      </c>
      <c r="AZ69" s="118">
        <f t="shared" si="19"/>
        <v>0.15675873371184407</v>
      </c>
      <c r="BA69" s="118">
        <f t="shared" si="20"/>
        <v>1.4668934252895128E-2</v>
      </c>
      <c r="BB69" s="118">
        <f t="shared" si="21"/>
        <v>134393.99562917743</v>
      </c>
      <c r="BC69" s="118">
        <f>EDisponible!H82</f>
        <v>1.0824114634325666</v>
      </c>
      <c r="BD69" s="118">
        <f t="shared" si="45"/>
        <v>0.28241146343256651</v>
      </c>
      <c r="BE69" s="118">
        <f>IF(BD69&lt;0, 0, 0.00035*(10*BD69/((1/COS(M$1))-0.8))^(3/(1+1/(DATOS!E$6))))</f>
        <v>0.31425598031708685</v>
      </c>
      <c r="BF69" s="118">
        <f t="shared" si="22"/>
        <v>3013547.7307985825</v>
      </c>
      <c r="BG69" s="118">
        <f t="shared" si="46"/>
        <v>15238214.6739303</v>
      </c>
      <c r="BH69" s="118">
        <f t="shared" si="23"/>
        <v>0.1884989601120472</v>
      </c>
      <c r="BI69" s="118">
        <f t="shared" si="24"/>
        <v>1.5357190941000895E-2</v>
      </c>
      <c r="BJ69" s="118">
        <f t="shared" si="25"/>
        <v>117008.08617375465</v>
      </c>
      <c r="BK69" s="118">
        <f>EDisponible!I82</f>
        <v>1.1061473755565439</v>
      </c>
      <c r="BL69" s="118">
        <f t="shared" si="47"/>
        <v>0.30614737555654381</v>
      </c>
      <c r="BM69" s="118">
        <f>IF(BL69&lt;0, 0, 0.00035*(10*BL69/((1/COS(M$1))-0.8))^(3/(1+1/(DATOS!E$6))))</f>
        <v>0.38810400570595377</v>
      </c>
      <c r="BN69" s="118">
        <f t="shared" si="26"/>
        <v>3074014.1635535518</v>
      </c>
    </row>
    <row r="70" spans="1:66">
      <c r="A70" s="41">
        <f>EDisponible!A83</f>
        <v>335</v>
      </c>
      <c r="B70" s="44"/>
      <c r="C70" s="118">
        <f t="shared" si="0"/>
        <v>49545321.122912109</v>
      </c>
      <c r="D70" s="118">
        <f t="shared" si="1"/>
        <v>5.7974952122606623E-2</v>
      </c>
      <c r="E70" s="118">
        <f t="shared" si="2"/>
        <v>1.3336692988944951E-2</v>
      </c>
      <c r="F70" s="118">
        <f t="shared" si="3"/>
        <v>330385.36842748406</v>
      </c>
      <c r="G70" s="118">
        <f>EDisponible!B83</f>
        <v>0.9809506587053668</v>
      </c>
      <c r="H70" s="118">
        <f t="shared" si="27"/>
        <v>0.18095065870536675</v>
      </c>
      <c r="I70" s="118">
        <f>IF(H70&lt;0, 0, 0.00035*(10*H70/((1/COS(M$1))-0.8))^(3/(1+1/(DATOS!E$6))))</f>
        <v>9.810062325969196E-2</v>
      </c>
      <c r="J70" s="118">
        <f t="shared" si="28"/>
        <v>2760598.8093071138</v>
      </c>
      <c r="K70" s="118">
        <f t="shared" si="29"/>
        <v>42800411.122403346</v>
      </c>
      <c r="L70" s="11">
        <f t="shared" si="4"/>
        <v>6.7111215632610702E-2</v>
      </c>
      <c r="M70" s="118">
        <f t="shared" si="5"/>
        <v>1.3408468279494247E-2</v>
      </c>
      <c r="N70" s="118">
        <f t="shared" si="6"/>
        <v>286943.97744202899</v>
      </c>
      <c r="O70" s="118">
        <f>EDisponible!C83</f>
        <v>0.99798004994362233</v>
      </c>
      <c r="P70" s="118">
        <f t="shared" si="30"/>
        <v>0.19798004994362228</v>
      </c>
      <c r="Q70" s="118">
        <f>IF(P70&lt;0, 0, 0.00035*(10*P70/((1/COS(M$1))-0.8))^(3/(1+1/(DATOS!E$6))))</f>
        <v>0.12411720521572409</v>
      </c>
      <c r="R70" s="118">
        <f t="shared" si="31"/>
        <v>2943077.6827403768</v>
      </c>
      <c r="S70" s="118">
        <f t="shared" si="32"/>
        <v>36781538.145457759</v>
      </c>
      <c r="T70" s="118">
        <f t="shared" si="7"/>
        <v>7.8093189269049595E-2</v>
      </c>
      <c r="U70" s="118">
        <f t="shared" si="8"/>
        <v>1.3508619729827729E-2</v>
      </c>
      <c r="V70" s="118">
        <f t="shared" si="9"/>
        <v>248433.90594257094</v>
      </c>
      <c r="W70" s="118">
        <f>EDisponible!D83</f>
        <v>1.0159282867277932</v>
      </c>
      <c r="X70" s="118">
        <f t="shared" si="33"/>
        <v>0.21592828672779318</v>
      </c>
      <c r="Y70" s="118">
        <f>IF(X70&lt;0, 0, 0.00035*(10*X70/((1/COS(M$1))-0.8))^(3/(1+1/(DATOS!E$6))))</f>
        <v>0.15574025785735557</v>
      </c>
      <c r="Z70" s="118">
        <f t="shared" si="34"/>
        <v>3112617.0235244464</v>
      </c>
      <c r="AA70" s="118">
        <f t="shared" si="35"/>
        <v>31432672.432224307</v>
      </c>
      <c r="AB70" s="118">
        <f t="shared" si="10"/>
        <v>9.1382227400278931E-2</v>
      </c>
      <c r="AC70" s="118">
        <f t="shared" si="11"/>
        <v>1.3650067893188594E-2</v>
      </c>
      <c r="AD70" s="118">
        <f t="shared" si="36"/>
        <v>214529.05638210964</v>
      </c>
      <c r="AE70" s="118">
        <f>EDisponible!E83</f>
        <v>1.0348810866017089</v>
      </c>
      <c r="AF70" s="118">
        <f t="shared" si="37"/>
        <v>0.23488108660170881</v>
      </c>
      <c r="AG70" s="118">
        <f>IF(AF70&lt;0, 0, 0.00035*(10*AF70/((1/COS(M$1))-0.8))^(3/(1+1/(DATOS!E$6))))</f>
        <v>0.19407211657893769</v>
      </c>
      <c r="AH70" s="118">
        <f t="shared" si="38"/>
        <v>3264631.6907092081</v>
      </c>
      <c r="AI70" s="118">
        <f t="shared" si="39"/>
        <v>26700278.152816337</v>
      </c>
      <c r="AJ70" s="118">
        <f t="shared" si="12"/>
        <v>0.10757893994812266</v>
      </c>
      <c r="AK70" s="118">
        <f t="shared" si="13"/>
        <v>1.3852459384163551E-2</v>
      </c>
      <c r="AL70" s="118">
        <f t="shared" si="14"/>
        <v>184932.25932887886</v>
      </c>
      <c r="AM70" s="118">
        <f>EDisponible!F83</f>
        <v>1.0549357967968573</v>
      </c>
      <c r="AN70" s="118">
        <f t="shared" si="40"/>
        <v>0.25493579679685729</v>
      </c>
      <c r="AO70" s="118">
        <f>IF(AN70&lt;0, 0, 0.00035*(10*AN70/((1/COS(M$1))-0.8))^(3/(1+1/(DATOS!E$6))))</f>
        <v>0.24045055376138152</v>
      </c>
      <c r="AP70" s="118">
        <f t="shared" si="41"/>
        <v>3394980.5930426819</v>
      </c>
      <c r="AQ70" s="118">
        <f t="shared" si="42"/>
        <v>22533289.936545674</v>
      </c>
      <c r="AR70" s="118">
        <f t="shared" si="15"/>
        <v>0.12747306887226489</v>
      </c>
      <c r="AS70" s="118">
        <f t="shared" si="16"/>
        <v>1.4146147213930664E-2</v>
      </c>
      <c r="AT70" s="118">
        <f t="shared" si="17"/>
        <v>159379.61832827874</v>
      </c>
      <c r="AU70" s="118">
        <f>EDisponible!G83</f>
        <v>1.0762035048534258</v>
      </c>
      <c r="AV70" s="118">
        <f t="shared" si="43"/>
        <v>0.27620350485342571</v>
      </c>
      <c r="AW70" s="118">
        <f>IF(AV70&lt;0, 0, 0.00035*(10*AV70/((1/COS(M$1))-0.8))^(3/(1+1/(DATOS!E$6))))</f>
        <v>0.29650832229199725</v>
      </c>
      <c r="AX70" s="118">
        <f t="shared" si="18"/>
        <v>3500033.61573043</v>
      </c>
      <c r="AY70" s="118">
        <f t="shared" si="44"/>
        <v>18883088.734277435</v>
      </c>
      <c r="AZ70" s="118">
        <f t="shared" si="19"/>
        <v>0.15211428916212805</v>
      </c>
      <c r="BA70" s="118">
        <f t="shared" si="20"/>
        <v>1.4578837152253731E-2</v>
      </c>
      <c r="BB70" s="118">
        <f t="shared" si="21"/>
        <v>137646.73779429388</v>
      </c>
      <c r="BC70" s="118">
        <f>EDisponible!H83</f>
        <v>1.0988116371209389</v>
      </c>
      <c r="BD70" s="118">
        <f t="shared" si="45"/>
        <v>0.29881163712093883</v>
      </c>
      <c r="BE70" s="118">
        <f>IF(BD70&lt;0, 0, 0.00035*(10*BD70/((1/COS(M$1))-0.8))^(3/(1+1/(DATOS!E$6))))</f>
        <v>0.36425052840396765</v>
      </c>
      <c r="BF70" s="118">
        <f t="shared" si="22"/>
        <v>3576734.2624740759</v>
      </c>
      <c r="BG70" s="118">
        <f t="shared" si="46"/>
        <v>15703476.967693554</v>
      </c>
      <c r="BH70" s="118">
        <f t="shared" si="23"/>
        <v>0.18291411678504735</v>
      </c>
      <c r="BI70" s="118">
        <f t="shared" si="24"/>
        <v>1.522691469379801E-2</v>
      </c>
      <c r="BJ70" s="118">
        <f t="shared" si="25"/>
        <v>119557.7520915458</v>
      </c>
      <c r="BK70" s="118">
        <f>EDisponible!I83</f>
        <v>1.1229071842770977</v>
      </c>
      <c r="BL70" s="118">
        <f t="shared" si="47"/>
        <v>0.32290718427709764</v>
      </c>
      <c r="BM70" s="118">
        <f>IF(BL70&lt;0, 0, 0.00035*(10*BL70/((1/COS(M$1))-0.8))^(3/(1+1/(DATOS!E$6))))</f>
        <v>0.44615613495306072</v>
      </c>
      <c r="BN70" s="118">
        <f t="shared" si="26"/>
        <v>3622659.0467068288</v>
      </c>
    </row>
    <row r="71" spans="1:66">
      <c r="A71" s="41">
        <f>EDisponible!A84</f>
        <v>340</v>
      </c>
      <c r="B71" s="44"/>
      <c r="C71" s="118">
        <f t="shared" ref="C71" si="48">E$5*A71^2*K$3</f>
        <v>51035322.983369485</v>
      </c>
      <c r="D71" s="118">
        <f t="shared" ref="D71" si="49">2*C$4/C71</f>
        <v>5.6282344307608367E-2</v>
      </c>
      <c r="E71" s="118">
        <f t="shared" ref="E71" si="50">K$1+D71^(2)*K$2</f>
        <v>1.3324546875305919E-2</v>
      </c>
      <c r="F71" s="118">
        <f t="shared" ref="F71" si="51">0.5*C71*E71</f>
        <v>340011.27669414214</v>
      </c>
      <c r="G71" s="118">
        <f>EDisponible!B84</f>
        <v>0.99559171331290963</v>
      </c>
      <c r="H71" s="118">
        <f t="shared" si="27"/>
        <v>0.19559171331290959</v>
      </c>
      <c r="I71" s="118">
        <f>IF(H71&lt;0, 0, 0.00035*(10*H71/((1/COS(M$1))-0.8))^(3/(1+1/(DATOS!E$6))))</f>
        <v>0.12023927578865588</v>
      </c>
      <c r="J71" s="118">
        <f t="shared" si="28"/>
        <v>3408236.414274388</v>
      </c>
      <c r="K71" s="118">
        <f t="shared" si="29"/>
        <v>44087569.844061717</v>
      </c>
      <c r="L71" s="11">
        <f t="shared" ref="L71" si="52">2*C$4/K71</f>
        <v>6.515187002049945E-2</v>
      </c>
      <c r="M71" s="118">
        <f t="shared" ref="M71" si="53">K$1+L71^(2)*K$2</f>
        <v>1.3392192314246286E-2</v>
      </c>
      <c r="N71" s="118">
        <f t="shared" ref="N71" si="54">0.5*K71*M71</f>
        <v>295214.60700971982</v>
      </c>
      <c r="O71" s="118">
        <f>EDisponible!C84</f>
        <v>1.0128752745696465</v>
      </c>
      <c r="P71" s="118">
        <f t="shared" si="30"/>
        <v>0.2128752745696465</v>
      </c>
      <c r="Q71" s="118">
        <f>IF(P71&lt;0, 0, 0.00035*(10*P71/((1/COS(M$1))-0.8))^(3/(1+1/(DATOS!E$6))))</f>
        <v>0.1500467247190248</v>
      </c>
      <c r="R71" s="118">
        <f t="shared" si="31"/>
        <v>3602812.334971074</v>
      </c>
      <c r="S71" s="118">
        <f t="shared" si="32"/>
        <v>37887688.212206878</v>
      </c>
      <c r="T71" s="118">
        <f t="shared" ref="T71" si="55">2*C$4/S71</f>
        <v>7.5813219426635728E-2</v>
      </c>
      <c r="U71" s="118">
        <f t="shared" ref="U71" si="56">K$1+T71^(2)*K$2</f>
        <v>1.3486581187721757E-2</v>
      </c>
      <c r="V71" s="118">
        <f t="shared" ref="V71" si="57">0.5*S71*U71</f>
        <v>255487.69154450833</v>
      </c>
      <c r="W71" s="118">
        <f>EDisponible!D84</f>
        <v>1.0310913954849243</v>
      </c>
      <c r="X71" s="118">
        <f t="shared" si="33"/>
        <v>0.2310913954849243</v>
      </c>
      <c r="Y71" s="118">
        <f>IF(X71&lt;0, 0, 0.00035*(10*X71/((1/COS(M$1))-0.8))^(3/(1+1/(DATOS!E$6))))</f>
        <v>0.18598904030827071</v>
      </c>
      <c r="Z71" s="118">
        <f t="shared" si="34"/>
        <v>3778835.0765881771</v>
      </c>
      <c r="AA71" s="118">
        <f t="shared" si="35"/>
        <v>32377963.316240858</v>
      </c>
      <c r="AB71" s="118">
        <f t="shared" ref="AB71" si="58">2*C$4/AA71</f>
        <v>8.8714277422113338E-2</v>
      </c>
      <c r="AC71" s="118">
        <f t="shared" ref="AC71" si="59">K$1+AB71^(2)*K$2</f>
        <v>1.3619890618092963E-2</v>
      </c>
      <c r="AD71" s="118">
        <f t="shared" si="36"/>
        <v>220492.15940191349</v>
      </c>
      <c r="AE71" s="118">
        <f>EDisponible!E84</f>
        <v>1.0503270729688985</v>
      </c>
      <c r="AF71" s="118">
        <f t="shared" si="37"/>
        <v>0.25032707296889845</v>
      </c>
      <c r="AG71" s="118">
        <f>IF(AF71&lt;0, 0, 0.00035*(10*AF71/((1/COS(M$1))-0.8))^(3/(1+1/(DATOS!E$6))))</f>
        <v>0.22924722614788079</v>
      </c>
      <c r="AH71" s="118">
        <f t="shared" si="38"/>
        <v>3931771.2986849416</v>
      </c>
      <c r="AI71" s="118">
        <f t="shared" si="39"/>
        <v>27503249.315799229</v>
      </c>
      <c r="AJ71" s="118">
        <f t="shared" ref="AJ71" si="60">2*C$4/AI71</f>
        <v>0.10443811882074451</v>
      </c>
      <c r="AK71" s="118">
        <f t="shared" ref="AK71" si="61">K$1+AJ71^(2)*K$2</f>
        <v>1.3810636780735011E-2</v>
      </c>
      <c r="AL71" s="118">
        <f t="shared" ref="AL71" si="62">0.5*AI71*AK71</f>
        <v>189918.69329525094</v>
      </c>
      <c r="AM71" s="118">
        <f>EDisponible!F84</f>
        <v>1.0706811071968105</v>
      </c>
      <c r="AN71" s="118">
        <f t="shared" si="40"/>
        <v>0.27068110719681049</v>
      </c>
      <c r="AO71" s="118">
        <f>IF(AN71&lt;0, 0, 0.00035*(10*AN71/((1/COS(M$1))-0.8))^(3/(1+1/(DATOS!E$6))))</f>
        <v>0.28125271199990448</v>
      </c>
      <c r="AP71" s="118">
        <f t="shared" si="41"/>
        <v>4057600.4227342764</v>
      </c>
      <c r="AQ71" s="118">
        <f t="shared" si="42"/>
        <v>23210945.12510296</v>
      </c>
      <c r="AR71" s="118">
        <f t="shared" ref="AR71" si="63">2*C$4/AQ71</f>
        <v>0.12375142866946305</v>
      </c>
      <c r="AS71" s="118">
        <f t="shared" ref="AS71" si="64">K$1+AR71^(2)*K$2</f>
        <v>1.4087426216263599E-2</v>
      </c>
      <c r="AT71" s="118">
        <f t="shared" ref="AT71" si="65">0.5*AQ71*AS71</f>
        <v>163491.2384298156</v>
      </c>
      <c r="AU71" s="118">
        <f>EDisponible!G84</f>
        <v>1.0922662437318351</v>
      </c>
      <c r="AV71" s="118">
        <f t="shared" si="43"/>
        <v>0.29226624373183507</v>
      </c>
      <c r="AW71" s="118">
        <f>IF(AV71&lt;0, 0, 0.00035*(10*AV71/((1/COS(M$1))-0.8))^(3/(1+1/(DATOS!E$6))))</f>
        <v>0.34375039101234928</v>
      </c>
      <c r="AX71" s="118">
        <f t="shared" ref="AX71" si="66">0.5*AQ71*(AS71+AW71)</f>
        <v>4152876.9696899778</v>
      </c>
      <c r="AY71" s="118">
        <f t="shared" si="44"/>
        <v>19450969.549409412</v>
      </c>
      <c r="AZ71" s="118">
        <f t="shared" ref="AZ71" si="67">2*C$4/AY71</f>
        <v>0.14767323616972164</v>
      </c>
      <c r="BA71" s="118">
        <f t="shared" ref="BA71" si="68">K$1+AZ71^(2)*K$2</f>
        <v>1.4495219769991416E-2</v>
      </c>
      <c r="BB71" s="118">
        <f t="shared" ref="BB71" si="69">0.5*AY71*BA71</f>
        <v>140973.03917905016</v>
      </c>
      <c r="BC71" s="118">
        <f>EDisponible!H84</f>
        <v>1.115211810809311</v>
      </c>
      <c r="BD71" s="118">
        <f t="shared" si="45"/>
        <v>0.31521181080931093</v>
      </c>
      <c r="BE71" s="118">
        <f>IF(BD71&lt;0, 0, 0.00035*(10*BD71/((1/COS(M$1))-0.8))^(3/(1+1/(DATOS!E$6))))</f>
        <v>0.41888048235679293</v>
      </c>
      <c r="BF71" s="118">
        <f t="shared" ref="BF71" si="70">0.5*AY71*(BA71+BE71)</f>
        <v>4214788.7927610027</v>
      </c>
      <c r="BG71" s="118">
        <f t="shared" si="46"/>
        <v>16175735.686926933</v>
      </c>
      <c r="BH71" s="118">
        <f t="shared" ref="BH71" si="71">2*C$4/BG71</f>
        <v>0.17757384737198909</v>
      </c>
      <c r="BI71" s="118">
        <f t="shared" ref="BI71" si="72">K$1+BH71^(2)*K$2</f>
        <v>1.5106007820163738E-2</v>
      </c>
      <c r="BJ71" s="118">
        <f t="shared" ref="BJ71" si="73">0.5*BG71*BI71</f>
        <v>122175.39489180995</v>
      </c>
      <c r="BK71" s="118">
        <f>EDisponible!I84</f>
        <v>1.1396669929976513</v>
      </c>
      <c r="BL71" s="118">
        <f t="shared" si="47"/>
        <v>0.33966699299765124</v>
      </c>
      <c r="BM71" s="118">
        <f>IF(BL71&lt;0, 0, 0.00035*(10*BL71/((1/COS(M$1))-0.8))^(3/(1+1/(DATOS!E$6))))</f>
        <v>0.50928585844650409</v>
      </c>
      <c r="BN71" s="118">
        <f t="shared" ref="BN71" si="74">0.5*BG71*(BI71+BM71)</f>
        <v>4241212.1125519769</v>
      </c>
    </row>
    <row r="105" spans="1:34">
      <c r="E105">
        <f>MAX(E108:E172)</f>
        <v>24.526180452988221</v>
      </c>
      <c r="F105" s="132">
        <f>MAX(F108:F172)</f>
        <v>9.9610183645542669</v>
      </c>
      <c r="G105" s="132"/>
      <c r="H105" s="132"/>
      <c r="I105" s="132">
        <f t="shared" ref="I105:AH105" si="75">MAX(I108:I172)</f>
        <v>22.298787999896</v>
      </c>
      <c r="J105" s="132">
        <f t="shared" si="75"/>
        <v>8.3085674178801625</v>
      </c>
      <c r="K105" s="132"/>
      <c r="L105" s="132"/>
      <c r="M105" s="132">
        <f t="shared" si="75"/>
        <v>19.788579165626256</v>
      </c>
      <c r="N105" s="132">
        <f t="shared" si="75"/>
        <v>6.3449505293731523</v>
      </c>
      <c r="O105" s="132"/>
      <c r="P105" s="132"/>
      <c r="Q105" s="132">
        <f t="shared" si="75"/>
        <v>15.738643399835329</v>
      </c>
      <c r="R105" s="132">
        <f t="shared" si="75"/>
        <v>4.6781503462996179</v>
      </c>
      <c r="S105" s="132"/>
      <c r="T105" s="132"/>
      <c r="U105" s="132">
        <f t="shared" si="75"/>
        <v>11.521835079978938</v>
      </c>
      <c r="V105" s="132">
        <f t="shared" si="75"/>
        <v>3.2772377391372274</v>
      </c>
      <c r="W105" s="132"/>
      <c r="X105" s="132"/>
      <c r="Y105" s="132">
        <f t="shared" si="75"/>
        <v>7.8262747915028594</v>
      </c>
      <c r="Z105" s="132">
        <f t="shared" si="75"/>
        <v>2.112373317400106</v>
      </c>
      <c r="AA105" s="132"/>
      <c r="AB105" s="132"/>
      <c r="AC105" s="132">
        <f t="shared" si="75"/>
        <v>4.5448611102031062</v>
      </c>
      <c r="AD105" s="132">
        <f t="shared" si="75"/>
        <v>1.1530753735229731</v>
      </c>
      <c r="AE105" s="132"/>
      <c r="AF105" s="132"/>
      <c r="AG105" s="132">
        <f t="shared" si="75"/>
        <v>1.5622273646111722</v>
      </c>
      <c r="AH105" s="132">
        <f t="shared" si="75"/>
        <v>0.37401753335464366</v>
      </c>
    </row>
    <row r="106" spans="1:34">
      <c r="A106" s="125"/>
      <c r="B106" s="126"/>
      <c r="C106" s="117"/>
      <c r="D106" s="117" t="s">
        <v>64</v>
      </c>
      <c r="E106" s="117"/>
      <c r="F106" s="117"/>
      <c r="G106" s="133"/>
      <c r="H106" s="127" t="s">
        <v>78</v>
      </c>
      <c r="I106" s="117"/>
      <c r="J106" s="117"/>
      <c r="K106" s="133"/>
      <c r="L106" s="117" t="s">
        <v>170</v>
      </c>
      <c r="M106" s="117"/>
      <c r="N106" s="117"/>
      <c r="O106" s="133"/>
      <c r="P106" s="117" t="s">
        <v>82</v>
      </c>
      <c r="Q106" s="117"/>
      <c r="R106" s="117"/>
      <c r="S106" s="133"/>
      <c r="T106" s="117" t="s">
        <v>83</v>
      </c>
      <c r="U106" s="117"/>
      <c r="V106" s="117"/>
      <c r="W106" s="133"/>
      <c r="X106" s="117" t="s">
        <v>84</v>
      </c>
      <c r="Y106" s="117"/>
      <c r="Z106" s="117"/>
      <c r="AA106" s="133"/>
      <c r="AB106" s="117" t="s">
        <v>85</v>
      </c>
      <c r="AC106" s="117"/>
      <c r="AD106" s="117"/>
      <c r="AE106" s="133"/>
      <c r="AF106" s="117" t="s">
        <v>86</v>
      </c>
      <c r="AG106" s="117"/>
    </row>
    <row r="107" spans="1:34">
      <c r="A107" s="125" t="s">
        <v>157</v>
      </c>
      <c r="B107" s="126"/>
      <c r="C107" s="124" t="s">
        <v>159</v>
      </c>
      <c r="D107" s="124" t="s">
        <v>158</v>
      </c>
      <c r="E107" s="124" t="s">
        <v>160</v>
      </c>
      <c r="F107" s="124" t="s">
        <v>171</v>
      </c>
      <c r="G107" s="124" t="s">
        <v>159</v>
      </c>
      <c r="H107" s="124" t="s">
        <v>158</v>
      </c>
      <c r="I107" s="124" t="s">
        <v>160</v>
      </c>
      <c r="J107" s="124"/>
      <c r="K107" s="124" t="s">
        <v>159</v>
      </c>
      <c r="L107" s="124" t="s">
        <v>158</v>
      </c>
      <c r="M107" s="124" t="s">
        <v>160</v>
      </c>
      <c r="N107" s="124"/>
      <c r="O107" s="124" t="s">
        <v>159</v>
      </c>
      <c r="P107" s="124" t="s">
        <v>158</v>
      </c>
      <c r="Q107" s="124" t="s">
        <v>160</v>
      </c>
      <c r="R107" s="124"/>
      <c r="S107" s="124" t="s">
        <v>159</v>
      </c>
      <c r="T107" s="124" t="s">
        <v>158</v>
      </c>
      <c r="U107" s="124" t="s">
        <v>160</v>
      </c>
      <c r="V107" s="124"/>
      <c r="W107" s="124" t="s">
        <v>159</v>
      </c>
      <c r="X107" s="124" t="s">
        <v>158</v>
      </c>
      <c r="Y107" s="124" t="s">
        <v>160</v>
      </c>
      <c r="Z107" s="124"/>
      <c r="AA107" s="124" t="s">
        <v>159</v>
      </c>
      <c r="AB107" s="124" t="s">
        <v>158</v>
      </c>
      <c r="AC107" s="124" t="s">
        <v>160</v>
      </c>
      <c r="AD107" s="124"/>
      <c r="AE107" s="124" t="s">
        <v>158</v>
      </c>
      <c r="AF107" s="124" t="s">
        <v>159</v>
      </c>
      <c r="AG107" s="124" t="s">
        <v>160</v>
      </c>
    </row>
    <row r="108" spans="1:34">
      <c r="A108" s="125">
        <v>20</v>
      </c>
      <c r="B108" s="126"/>
      <c r="C108" s="129">
        <f>EDisponible!P20</f>
        <v>400275.57966900425</v>
      </c>
      <c r="D108" s="129">
        <f>J7</f>
        <v>1468327.8912305287</v>
      </c>
      <c r="E108" s="129">
        <f>(((C108-D108)/$C$4)*A108)</f>
        <v>-14.873372996385834</v>
      </c>
      <c r="F108" s="129">
        <f>180*ATAN(E108/A108)/PI()</f>
        <v>-36.637025041065321</v>
      </c>
      <c r="G108" s="129">
        <f>EDisponible!V20</f>
        <v>334236.46517328115</v>
      </c>
      <c r="H108" s="129">
        <f>R7</f>
        <v>1699381.0389884643</v>
      </c>
      <c r="I108" s="129">
        <f>((G108-H108)/$C$4)*A108</f>
        <v>-19.01058985646489</v>
      </c>
      <c r="J108" s="129">
        <f>180*ATAN(I108/A108)/PI()</f>
        <v>-43.547141300935024</v>
      </c>
      <c r="K108" s="129">
        <f>EDisponible!AB20</f>
        <v>276862.60412427573</v>
      </c>
      <c r="L108" s="129">
        <f>Z7</f>
        <v>1977160.4552954282</v>
      </c>
      <c r="M108" s="129">
        <f>((K108-L108)/$C$4)*A108</f>
        <v>-23.677832884840974</v>
      </c>
      <c r="N108" s="129">
        <f>180*ATAN(M108/A108)/PI()</f>
        <v>-49.813159595065322</v>
      </c>
      <c r="O108" s="129">
        <f>EDisponible!AH20</f>
        <v>227745.37994044076</v>
      </c>
      <c r="P108" s="129">
        <f>AH7</f>
        <v>2313340.2993383068</v>
      </c>
      <c r="Q108" s="129">
        <f>((O108-P108)/$C$4)*A108</f>
        <v>-29.043363157203217</v>
      </c>
      <c r="R108" s="129">
        <f>180*ATAN(Q108/A108)/PI()</f>
        <v>-55.447711480367367</v>
      </c>
      <c r="S108" s="129">
        <f>EDisponible!AN20</f>
        <v>185941.95939726426</v>
      </c>
      <c r="T108" s="129">
        <f>AP7</f>
        <v>2723118.921329584</v>
      </c>
      <c r="U108" s="129">
        <f>((S108-T108)/$C$4)*A108</f>
        <v>-35.331957905212249</v>
      </c>
      <c r="V108" s="129">
        <f>180*ATAN(U108/A108)/PI()</f>
        <v>-60.487545286334239</v>
      </c>
      <c r="W108" s="129">
        <f>EDisponible!AT20</f>
        <v>150587.08192722261</v>
      </c>
      <c r="X108" s="129">
        <f>AX7</f>
        <v>3226481.0834257025</v>
      </c>
      <c r="Y108" s="129">
        <f>((W108-X108)/$C$4)*A108</f>
        <v>-42.833968230213713</v>
      </c>
      <c r="Z108" s="129">
        <f>180*ATAN(Y108/A108)/PI()</f>
        <v>-64.971228509183106</v>
      </c>
      <c r="AA108" s="129">
        <f>EDisponible!AZ20</f>
        <v>120889.344086343</v>
      </c>
      <c r="AB108" s="129">
        <f>BF7</f>
        <v>3849989.7159983609</v>
      </c>
      <c r="AC108" s="129">
        <f>((AA108-AB108)/$C$4)*A108</f>
        <v>-51.930322299773977</v>
      </c>
      <c r="AD108" s="129">
        <f>180*ATAN(AC108/A108)/PI()</f>
        <v>-68.936735731086543</v>
      </c>
      <c r="AE108" s="129">
        <f>EDisponible!BF20</f>
        <v>96127.523830610546</v>
      </c>
      <c r="AF108" s="129">
        <f>BN7</f>
        <v>4629364.8959337799</v>
      </c>
      <c r="AG108" s="129">
        <f>((AE108-AF108)/$C$4)*A108</f>
        <v>-63.128490605361534</v>
      </c>
      <c r="AH108">
        <f>180*ATAN(AG108/A108)/PI()</f>
        <v>-72.42106076305997</v>
      </c>
    </row>
    <row r="109" spans="1:34">
      <c r="A109" s="125">
        <v>25</v>
      </c>
      <c r="B109" s="126"/>
      <c r="C109" s="129">
        <f>EDisponible!P21</f>
        <v>394107.52705885581</v>
      </c>
      <c r="D109" s="129">
        <f t="shared" ref="D109:D172" si="76">J8</f>
        <v>940798.97543441562</v>
      </c>
      <c r="E109" s="129">
        <f t="shared" ref="E109:E172" si="77">(((C109-D109)/$C$4)*A109)</f>
        <v>-9.516324408464758</v>
      </c>
      <c r="F109" s="132">
        <f t="shared" ref="F109:F172" si="78">180*ATAN(E109/A109)/PI()</f>
        <v>-20.839475977855766</v>
      </c>
      <c r="G109" s="129">
        <f>EDisponible!V21</f>
        <v>329339.72843682423</v>
      </c>
      <c r="H109" s="129">
        <f t="shared" ref="H109:H172" si="79">R8</f>
        <v>1088527.443415941</v>
      </c>
      <c r="I109" s="129">
        <f t="shared" ref="I109:I172" si="80">((G109-H109)/$C$4)*A109</f>
        <v>-13.21527271759925</v>
      </c>
      <c r="J109" s="132">
        <f t="shared" ref="J109:J172" si="81">180*ATAN(I109/A109)/PI()</f>
        <v>-27.861418734731416</v>
      </c>
      <c r="K109" s="129">
        <f>EDisponible!AB21</f>
        <v>272775.07142245333</v>
      </c>
      <c r="L109" s="129">
        <f t="shared" ref="L109:L172" si="82">Z8</f>
        <v>1266176.3902248617</v>
      </c>
      <c r="M109" s="129">
        <f t="shared" ref="M109:M172" si="83">((K109-L109)/$C$4)*A109</f>
        <v>-17.292257352132864</v>
      </c>
      <c r="N109" s="132">
        <f t="shared" ref="N109:N172" si="84">180*ATAN(M109/A109)/PI()</f>
        <v>-34.671233585940925</v>
      </c>
      <c r="O109" s="129">
        <f>EDisponible!AH21</f>
        <v>224356.24323601104</v>
      </c>
      <c r="P109" s="129">
        <f t="shared" ref="P109:P172" si="85">AH8</f>
        <v>1481216.0686897929</v>
      </c>
      <c r="Q109" s="129">
        <f t="shared" ref="Q109:Q172" si="86">((O109-P109)/$C$4)*A109</f>
        <v>-21.878311560432461</v>
      </c>
      <c r="R109" s="132">
        <f t="shared" ref="R109:R172" si="87">180*ATAN(Q109/A109)/PI()</f>
        <v>-41.190223382634464</v>
      </c>
      <c r="S109" s="129">
        <f>EDisponible!AN21</f>
        <v>183152.21965319422</v>
      </c>
      <c r="T109" s="129">
        <f t="shared" ref="T109:T172" si="88">AP8</f>
        <v>1743372.2677115698</v>
      </c>
      <c r="U109" s="129">
        <f t="shared" ref="U109:U172" si="89">((S109-T109)/$C$4)*A109</f>
        <v>-27.158939782270323</v>
      </c>
      <c r="V109" s="132">
        <f t="shared" ref="V109:V172" si="90">180*ATAN(U109/A109)/PI()</f>
        <v>-47.370208604510125</v>
      </c>
      <c r="W109" s="129">
        <f>EDisponible!AT21</f>
        <v>148308.67613790097</v>
      </c>
      <c r="X109" s="129">
        <f t="shared" ref="X109:X172" si="91">AX8</f>
        <v>2065434.1331445326</v>
      </c>
      <c r="Y109" s="129">
        <f t="shared" ref="Y109:Y172" si="92">((W109-X109)/$C$4)*A109</f>
        <v>-33.371635563006492</v>
      </c>
      <c r="Z109" s="132">
        <f t="shared" ref="Z109:Z172" si="93">180*ATAN(Y109/A109)/PI()</f>
        <v>-53.161680736054869</v>
      </c>
      <c r="AA109" s="129">
        <f>EDisponible!AZ21</f>
        <v>119044.30609208034</v>
      </c>
      <c r="AB109" s="129">
        <f t="shared" ref="AB109:AB172" si="94">BF8</f>
        <v>2464400.8912892956</v>
      </c>
      <c r="AC109" s="129">
        <f t="shared" ref="AC109:AC172" si="95">((AA109-AB109)/$C$4)*A109</f>
        <v>-40.825906797307795</v>
      </c>
      <c r="AD109" s="132">
        <f t="shared" ref="AD109:AD171" si="96">180*ATAN(AC109/A109)/PI()</f>
        <v>-58.518519524454547</v>
      </c>
      <c r="AE109" s="129">
        <f>EDisponible!BF21</f>
        <v>94647.17889857688</v>
      </c>
      <c r="AF109" s="129">
        <f t="shared" ref="AF109:AF172" si="97">BN8</f>
        <v>2963132.3944680225</v>
      </c>
      <c r="AG109" s="129">
        <f t="shared" ref="AG109:AG172" si="98">((AE109-AF109)/$C$4)*A109</f>
        <v>-49.93207037233794</v>
      </c>
      <c r="AH109" s="132">
        <f t="shared" ref="AH109:AH172" si="99">180*ATAN(AG109/A109)/PI()</f>
        <v>-63.4037782998099</v>
      </c>
    </row>
    <row r="110" spans="1:34">
      <c r="A110" s="125">
        <v>30</v>
      </c>
      <c r="B110" s="126"/>
      <c r="C110" s="129">
        <f>EDisponible!P22</f>
        <v>388581.86155327468</v>
      </c>
      <c r="D110" s="129">
        <f t="shared" si="76"/>
        <v>654682.7101056797</v>
      </c>
      <c r="E110" s="129">
        <f t="shared" si="77"/>
        <v>-5.5584597294512434</v>
      </c>
      <c r="F110" s="132">
        <f t="shared" si="78"/>
        <v>-10.496839578314122</v>
      </c>
      <c r="G110" s="129">
        <f>EDisponible!V22</f>
        <v>325045.46704388177</v>
      </c>
      <c r="H110" s="129">
        <f t="shared" si="79"/>
        <v>757088.12814169843</v>
      </c>
      <c r="I110" s="129">
        <f t="shared" si="80"/>
        <v>-9.0247428603904787</v>
      </c>
      <c r="J110" s="132">
        <f t="shared" si="81"/>
        <v>-16.742587948635204</v>
      </c>
      <c r="K110" s="129">
        <f>EDisponible!AB22</f>
        <v>269193.45778318925</v>
      </c>
      <c r="L110" s="129">
        <f t="shared" si="82"/>
        <v>880291.44066506217</v>
      </c>
      <c r="M110" s="129">
        <f t="shared" si="83"/>
        <v>-12.764948128035858</v>
      </c>
      <c r="N110" s="132">
        <f t="shared" si="84"/>
        <v>-23.049668779399969</v>
      </c>
      <c r="O110" s="129">
        <f>EDisponible!AH22</f>
        <v>221389.24380271847</v>
      </c>
      <c r="P110" s="129">
        <f t="shared" si="85"/>
        <v>1029478.7964648103</v>
      </c>
      <c r="Q110" s="129">
        <f t="shared" si="86"/>
        <v>-16.879815531207974</v>
      </c>
      <c r="R110" s="132">
        <f t="shared" si="87"/>
        <v>-29.364739498933872</v>
      </c>
      <c r="S110" s="129">
        <f>EDisponible!AN22</f>
        <v>180712.3015169237</v>
      </c>
      <c r="T110" s="129">
        <f t="shared" si="88"/>
        <v>1211402.7567830773</v>
      </c>
      <c r="U110" s="129">
        <f t="shared" si="89"/>
        <v>-21.529624652806856</v>
      </c>
      <c r="V110" s="132">
        <f t="shared" si="90"/>
        <v>-35.665269906705568</v>
      </c>
      <c r="W110" s="129">
        <f>EDisponible!AT22</f>
        <v>146318.02622370634</v>
      </c>
      <c r="X110" s="129">
        <f t="shared" si="91"/>
        <v>1434943.2813986386</v>
      </c>
      <c r="Y110" s="129">
        <f t="shared" si="92"/>
        <v>-26.917507502171986</v>
      </c>
      <c r="Z110" s="132">
        <f t="shared" si="93"/>
        <v>-41.900049704478938</v>
      </c>
      <c r="AA110" s="129">
        <f>EDisponible!AZ22</f>
        <v>117434.08080146959</v>
      </c>
      <c r="AB110" s="129">
        <f t="shared" si="94"/>
        <v>1711904.0637280387</v>
      </c>
      <c r="AC110" s="129">
        <f t="shared" si="95"/>
        <v>-33.30615906762408</v>
      </c>
      <c r="AD110" s="132">
        <f t="shared" si="96"/>
        <v>-47.989551509590079</v>
      </c>
      <c r="AE110" s="129">
        <f>EDisponible!BF22</f>
        <v>93356.784181137176</v>
      </c>
      <c r="AF110" s="129">
        <f t="shared" si="97"/>
        <v>2058158.7423534733</v>
      </c>
      <c r="AG110" s="129">
        <f t="shared" si="98"/>
        <v>-41.041855447886995</v>
      </c>
      <c r="AH110" s="132">
        <f t="shared" si="99"/>
        <v>-53.834648721847749</v>
      </c>
    </row>
    <row r="111" spans="1:34">
      <c r="A111" s="125">
        <v>35</v>
      </c>
      <c r="B111" s="126"/>
      <c r="C111" s="129">
        <f>EDisponible!P23</f>
        <v>383549.3063924039</v>
      </c>
      <c r="D111" s="129">
        <f t="shared" si="76"/>
        <v>482624.83825362707</v>
      </c>
      <c r="E111" s="129">
        <f t="shared" si="77"/>
        <v>-2.4144677347849108</v>
      </c>
      <c r="F111" s="132">
        <f t="shared" si="78"/>
        <v>-3.9462853862413381</v>
      </c>
      <c r="G111" s="129">
        <f>EDisponible!V23</f>
        <v>321226.93330681021</v>
      </c>
      <c r="H111" s="129">
        <f t="shared" si="79"/>
        <v>557639.09901463706</v>
      </c>
      <c r="I111" s="129">
        <f t="shared" si="80"/>
        <v>-5.7613573754185303</v>
      </c>
      <c r="J111" s="132">
        <f t="shared" si="81"/>
        <v>-9.3476423647564086</v>
      </c>
      <c r="K111" s="129">
        <f>EDisponible!AB23</f>
        <v>266011.64432018233</v>
      </c>
      <c r="L111" s="129">
        <f t="shared" si="82"/>
        <v>647957.38223180792</v>
      </c>
      <c r="M111" s="129">
        <f t="shared" si="83"/>
        <v>-9.3080061575442201</v>
      </c>
      <c r="N111" s="132">
        <f t="shared" si="84"/>
        <v>-14.892701665806179</v>
      </c>
      <c r="O111" s="129">
        <f>EDisponible!AH23</f>
        <v>218756.1133526059</v>
      </c>
      <c r="P111" s="129">
        <f t="shared" si="85"/>
        <v>757388.07242369256</v>
      </c>
      <c r="Q111" s="129">
        <f t="shared" si="86"/>
        <v>-13.126444659643836</v>
      </c>
      <c r="R111" s="132">
        <f t="shared" si="87"/>
        <v>-20.558118563512323</v>
      </c>
      <c r="S111" s="129">
        <f>EDisponible!AN23</f>
        <v>178549.29974566438</v>
      </c>
      <c r="T111" s="129">
        <f t="shared" si="88"/>
        <v>890890.46997021546</v>
      </c>
      <c r="U111" s="129">
        <f t="shared" si="89"/>
        <v>-17.359732916450383</v>
      </c>
      <c r="V111" s="132">
        <f t="shared" si="90"/>
        <v>-26.381060590142059</v>
      </c>
      <c r="W111" s="129">
        <f>EDisponible!AT23</f>
        <v>144555.37205127068</v>
      </c>
      <c r="X111" s="129">
        <f t="shared" si="91"/>
        <v>1054986.9433798364</v>
      </c>
      <c r="Y111" s="129">
        <f t="shared" si="92"/>
        <v>-22.187190039831602</v>
      </c>
      <c r="Z111" s="132">
        <f t="shared" si="93"/>
        <v>-32.371416126519563</v>
      </c>
      <c r="AA111" s="129">
        <f>EDisponible!AZ23</f>
        <v>116010.08463198144</v>
      </c>
      <c r="AB111" s="129">
        <f t="shared" si="94"/>
        <v>1258347.9910170354</v>
      </c>
      <c r="AC111" s="129">
        <f t="shared" si="95"/>
        <v>-27.83874045765236</v>
      </c>
      <c r="AD111" s="132">
        <f t="shared" si="96"/>
        <v>-38.498479344231406</v>
      </c>
      <c r="AE111" s="129">
        <f>EDisponible!BF23</f>
        <v>92217.194016871043</v>
      </c>
      <c r="AF111" s="129">
        <f t="shared" si="97"/>
        <v>1512634.354874921</v>
      </c>
      <c r="AG111" s="129">
        <f t="shared" si="98"/>
        <v>-34.615523534411935</v>
      </c>
      <c r="AH111" s="132">
        <f t="shared" si="99"/>
        <v>-44.68356691565976</v>
      </c>
    </row>
    <row r="112" spans="1:34">
      <c r="A112" s="125">
        <v>40</v>
      </c>
      <c r="B112" s="126"/>
      <c r="C112" s="129">
        <f>EDisponible!P24</f>
        <v>378912.14922960958</v>
      </c>
      <c r="D112" s="129">
        <f t="shared" si="76"/>
        <v>371428.00958355604</v>
      </c>
      <c r="E112" s="129">
        <f t="shared" si="77"/>
        <v>0.20844372379110995</v>
      </c>
      <c r="F112" s="132">
        <f t="shared" si="78"/>
        <v>0.29857093838660143</v>
      </c>
      <c r="G112" s="129">
        <f>EDisponible!V24</f>
        <v>317800.95200322341</v>
      </c>
      <c r="H112" s="129">
        <f t="shared" si="79"/>
        <v>428599.6437443691</v>
      </c>
      <c r="I112" s="129">
        <f t="shared" si="80"/>
        <v>-3.0858980443912558</v>
      </c>
      <c r="J112" s="132">
        <f t="shared" si="81"/>
        <v>-4.4114852077073916</v>
      </c>
      <c r="K112" s="129">
        <f>EDisponible!AB24</f>
        <v>263159.97879810218</v>
      </c>
      <c r="L112" s="129">
        <f t="shared" si="82"/>
        <v>497516.53185551416</v>
      </c>
      <c r="M112" s="129">
        <f t="shared" si="83"/>
        <v>-6.5271567507288442</v>
      </c>
      <c r="N112" s="132">
        <f t="shared" si="84"/>
        <v>-9.26778058986236</v>
      </c>
      <c r="O112" s="129">
        <f>EDisponible!AH24</f>
        <v>216398.90358652564</v>
      </c>
      <c r="P112" s="129">
        <f t="shared" si="85"/>
        <v>581092.29887228389</v>
      </c>
      <c r="Q112" s="129">
        <f t="shared" si="86"/>
        <v>-10.157219526959478</v>
      </c>
      <c r="R112" s="132">
        <f t="shared" si="87"/>
        <v>-14.247999968472293</v>
      </c>
      <c r="S112" s="129">
        <f>EDisponible!AN24</f>
        <v>176615.34097112293</v>
      </c>
      <c r="T112" s="129">
        <f t="shared" si="88"/>
        <v>683121.83626994083</v>
      </c>
      <c r="U112" s="129">
        <f t="shared" si="89"/>
        <v>-14.106912083093237</v>
      </c>
      <c r="V112" s="132">
        <f t="shared" si="90"/>
        <v>-19.426360224037658</v>
      </c>
      <c r="W112" s="129">
        <f>EDisponible!AT24</f>
        <v>142981.46249281822</v>
      </c>
      <c r="X112" s="129">
        <f t="shared" si="91"/>
        <v>808596.85521448904</v>
      </c>
      <c r="Y112" s="129">
        <f t="shared" si="92"/>
        <v>-18.538316711493717</v>
      </c>
      <c r="Z112" s="132">
        <f t="shared" si="93"/>
        <v>-24.865738080395815</v>
      </c>
      <c r="AA112" s="129">
        <f>EDisponible!AZ24</f>
        <v>114740.39910660741</v>
      </c>
      <c r="AB112" s="129">
        <f t="shared" si="94"/>
        <v>964153.82351318328</v>
      </c>
      <c r="AC112" s="129">
        <f t="shared" si="95"/>
        <v>-23.657348151544415</v>
      </c>
      <c r="AD112" s="132">
        <f t="shared" si="96"/>
        <v>-30.601500654418857</v>
      </c>
      <c r="AE112" s="129">
        <f>EDisponible!BF24</f>
        <v>91202.68339200347</v>
      </c>
      <c r="AF112" s="129">
        <f t="shared" si="97"/>
        <v>1158718.7080094777</v>
      </c>
      <c r="AG112" s="129">
        <f t="shared" si="98"/>
        <v>-29.731809653669909</v>
      </c>
      <c r="AH112" s="132">
        <f t="shared" si="99"/>
        <v>-36.623246572135862</v>
      </c>
    </row>
    <row r="113" spans="1:34">
      <c r="A113" s="125">
        <v>45</v>
      </c>
      <c r="B113" s="126"/>
      <c r="C113" s="129">
        <f>EDisponible!P25</f>
        <v>374602.13330298528</v>
      </c>
      <c r="D113" s="129">
        <f t="shared" si="76"/>
        <v>295678.29988755292</v>
      </c>
      <c r="E113" s="129">
        <f t="shared" si="77"/>
        <v>2.4729061488535846</v>
      </c>
      <c r="F113" s="132">
        <f t="shared" si="78"/>
        <v>3.14543815895254</v>
      </c>
      <c r="G113" s="129">
        <f>EDisponible!V25</f>
        <v>314709.30068997206</v>
      </c>
      <c r="H113" s="129">
        <f t="shared" si="79"/>
        <v>340550.86183777906</v>
      </c>
      <c r="I113" s="129">
        <f t="shared" si="80"/>
        <v>-0.80968894556878401</v>
      </c>
      <c r="J113" s="132">
        <f t="shared" si="81"/>
        <v>-1.0308167513139268</v>
      </c>
      <c r="K113" s="129">
        <f>EDisponible!AB25</f>
        <v>260589.69493708402</v>
      </c>
      <c r="L113" s="129">
        <f t="shared" si="82"/>
        <v>394735.92649654503</v>
      </c>
      <c r="M113" s="129">
        <f t="shared" si="83"/>
        <v>-4.2031795278213497</v>
      </c>
      <c r="N113" s="132">
        <f t="shared" si="84"/>
        <v>-5.3361721953213301</v>
      </c>
      <c r="O113" s="129">
        <f>EDisponible!AH25</f>
        <v>214277.03395216566</v>
      </c>
      <c r="P113" s="129">
        <f t="shared" si="85"/>
        <v>460533.12446965394</v>
      </c>
      <c r="Q113" s="129">
        <f t="shared" si="86"/>
        <v>-7.7158973922098797</v>
      </c>
      <c r="R113" s="132">
        <f t="shared" si="87"/>
        <v>-9.729572008013216</v>
      </c>
      <c r="S113" s="129">
        <f>EDisponible!AN25</f>
        <v>174876.89246838962</v>
      </c>
      <c r="T113" s="129">
        <f t="shared" si="88"/>
        <v>540938.50666926347</v>
      </c>
      <c r="U113" s="129">
        <f t="shared" si="89"/>
        <v>-11.469742122784476</v>
      </c>
      <c r="V113" s="132">
        <f t="shared" si="90"/>
        <v>-14.299265867932473</v>
      </c>
      <c r="W113" s="129">
        <f>EDisponible!AT25</f>
        <v>141568.79772747718</v>
      </c>
      <c r="X113" s="129">
        <f t="shared" si="91"/>
        <v>639893.86923174153</v>
      </c>
      <c r="Y113" s="129">
        <f t="shared" si="92"/>
        <v>-15.613929026537091</v>
      </c>
      <c r="Z113" s="132">
        <f t="shared" si="93"/>
        <v>-19.135557110173213</v>
      </c>
      <c r="AA113" s="129">
        <f>EDisponible!AZ25</f>
        <v>113602.65616168822</v>
      </c>
      <c r="AB113" s="129">
        <f t="shared" si="94"/>
        <v>762640.67793552077</v>
      </c>
      <c r="AC113" s="129">
        <f t="shared" si="95"/>
        <v>-20.336190545078633</v>
      </c>
      <c r="AD113" s="132">
        <f t="shared" si="96"/>
        <v>-24.318940757337028</v>
      </c>
      <c r="AE113" s="129">
        <f>EDisponible!BF25</f>
        <v>90295.219788021801</v>
      </c>
      <c r="AF113" s="129">
        <f t="shared" si="97"/>
        <v>916229.49318530096</v>
      </c>
      <c r="AG113" s="129">
        <f t="shared" si="98"/>
        <v>-25.878848693044819</v>
      </c>
      <c r="AH113" s="132">
        <f t="shared" si="99"/>
        <v>-29.902584414150645</v>
      </c>
    </row>
    <row r="114" spans="1:34">
      <c r="A114" s="125">
        <v>50</v>
      </c>
      <c r="B114" s="126"/>
      <c r="C114" s="129">
        <f>EDisponible!P26</f>
        <v>370569.21778295178</v>
      </c>
      <c r="D114" s="129">
        <f t="shared" si="76"/>
        <v>241990.42632098496</v>
      </c>
      <c r="E114" s="129">
        <f t="shared" si="77"/>
        <v>4.4763732640640894</v>
      </c>
      <c r="F114" s="132">
        <f t="shared" si="78"/>
        <v>5.1159067210760432</v>
      </c>
      <c r="G114" s="129">
        <f>EDisponible!V26</f>
        <v>311909.24120599497</v>
      </c>
      <c r="H114" s="129">
        <f t="shared" si="79"/>
        <v>277998.08584969316</v>
      </c>
      <c r="I114" s="129">
        <f t="shared" si="80"/>
        <v>1.1805911959856521</v>
      </c>
      <c r="J114" s="132">
        <f t="shared" si="81"/>
        <v>1.3526065269674972</v>
      </c>
      <c r="K114" s="129">
        <f>EDisponible!AB26</f>
        <v>258264.98898923802</v>
      </c>
      <c r="L114" s="129">
        <f t="shared" si="82"/>
        <v>321585.37573067966</v>
      </c>
      <c r="M114" s="129">
        <f t="shared" si="83"/>
        <v>-2.2044513178009604</v>
      </c>
      <c r="N114" s="132">
        <f t="shared" si="84"/>
        <v>-2.5244802496205865</v>
      </c>
      <c r="O114" s="129">
        <f>EDisponible!AH26</f>
        <v>212360.70461323031</v>
      </c>
      <c r="P114" s="129">
        <f t="shared" si="85"/>
        <v>374612.1797313657</v>
      </c>
      <c r="Q114" s="129">
        <f t="shared" si="86"/>
        <v>-5.6486622483819016</v>
      </c>
      <c r="R114" s="132">
        <f t="shared" si="87"/>
        <v>-6.44556137549875</v>
      </c>
      <c r="S114" s="129">
        <f>EDisponible!AN26</f>
        <v>173309.32473766958</v>
      </c>
      <c r="T114" s="129">
        <f t="shared" si="88"/>
        <v>439502.60745530616</v>
      </c>
      <c r="U114" s="129">
        <f t="shared" si="89"/>
        <v>-9.2673175745562002</v>
      </c>
      <c r="V114" s="132">
        <f t="shared" si="90"/>
        <v>-10.500404731717376</v>
      </c>
      <c r="W114" s="129">
        <f>EDisponible!AT26</f>
        <v>140297.17496589827</v>
      </c>
      <c r="X114" s="129">
        <f t="shared" si="91"/>
        <v>519446.94634560746</v>
      </c>
      <c r="Y114" s="129">
        <f t="shared" si="92"/>
        <v>-13.199812195949695</v>
      </c>
      <c r="Z114" s="132">
        <f t="shared" si="93"/>
        <v>-14.788476428231363</v>
      </c>
      <c r="AA114" s="129">
        <f>EDisponible!AZ26</f>
        <v>112580.41932494218</v>
      </c>
      <c r="AB114" s="129">
        <f t="shared" si="94"/>
        <v>618688.33924981323</v>
      </c>
      <c r="AC114" s="129">
        <f t="shared" si="95"/>
        <v>-17.619764004026415</v>
      </c>
      <c r="AD114" s="132">
        <f t="shared" si="96"/>
        <v>-19.412217096390872</v>
      </c>
      <c r="AE114" s="129">
        <f>EDisponible!BF26</f>
        <v>89481.549433684137</v>
      </c>
      <c r="AF114" s="129">
        <f t="shared" si="97"/>
        <v>742935.41740768147</v>
      </c>
      <c r="AG114" s="129">
        <f t="shared" si="98"/>
        <v>-22.749501614061312</v>
      </c>
      <c r="AH114" s="132">
        <f t="shared" si="99"/>
        <v>-24.465061955290651</v>
      </c>
    </row>
    <row r="115" spans="1:34">
      <c r="A115" s="125">
        <v>55</v>
      </c>
      <c r="B115" s="126"/>
      <c r="C115" s="129">
        <f>EDisponible!P27</f>
        <v>366775.31102186791</v>
      </c>
      <c r="D115" s="129">
        <f t="shared" si="76"/>
        <v>202770.31881583645</v>
      </c>
      <c r="E115" s="129">
        <f t="shared" si="77"/>
        <v>6.2806805798248986</v>
      </c>
      <c r="F115" s="132">
        <f t="shared" si="78"/>
        <v>6.5146254858486712</v>
      </c>
      <c r="G115" s="129">
        <f>EDisponible!V27</f>
        <v>309368.23837693606</v>
      </c>
      <c r="H115" s="129">
        <f t="shared" si="79"/>
        <v>232150.49741451949</v>
      </c>
      <c r="I115" s="129">
        <f t="shared" si="80"/>
        <v>2.9571049000224496</v>
      </c>
      <c r="J115" s="132">
        <f t="shared" si="81"/>
        <v>3.0775755323875171</v>
      </c>
      <c r="K115" s="129">
        <f>EDisponible!AB27</f>
        <v>256158.60003845178</v>
      </c>
      <c r="L115" s="129">
        <f t="shared" si="82"/>
        <v>267835.54551914579</v>
      </c>
      <c r="M115" s="129">
        <f t="shared" si="83"/>
        <v>-0.44717641655771395</v>
      </c>
      <c r="N115" s="132">
        <f t="shared" si="84"/>
        <v>-0.46583194228351277</v>
      </c>
      <c r="O115" s="129">
        <f>EDisponible!AH27</f>
        <v>210627.22200372737</v>
      </c>
      <c r="P115" s="129">
        <f t="shared" si="85"/>
        <v>311359.41530953068</v>
      </c>
      <c r="Q115" s="129">
        <f t="shared" si="86"/>
        <v>-3.857606538367675</v>
      </c>
      <c r="R115" s="132">
        <f t="shared" si="87"/>
        <v>-4.0120582724713003</v>
      </c>
      <c r="S115" s="129">
        <f>EDisponible!AN27</f>
        <v>171893.8781792557</v>
      </c>
      <c r="T115" s="129">
        <f t="shared" si="88"/>
        <v>364722.50115536951</v>
      </c>
      <c r="U115" s="129">
        <f t="shared" si="89"/>
        <v>-7.3845007476297768</v>
      </c>
      <c r="V115" s="132">
        <f t="shared" si="90"/>
        <v>-7.6470091275014607</v>
      </c>
      <c r="W115" s="129">
        <f>EDisponible!AT27</f>
        <v>139151.20343277784</v>
      </c>
      <c r="X115" s="129">
        <f t="shared" si="91"/>
        <v>430558.54078228888</v>
      </c>
      <c r="Y115" s="129">
        <f t="shared" si="92"/>
        <v>-11.159638373753404</v>
      </c>
      <c r="Z115" s="132">
        <f t="shared" si="93"/>
        <v>-11.469748536748355</v>
      </c>
      <c r="AA115" s="129">
        <f>EDisponible!AZ27</f>
        <v>111661.16466033779</v>
      </c>
      <c r="AB115" s="129">
        <f t="shared" si="94"/>
        <v>512371.5375256837</v>
      </c>
      <c r="AC115" s="129">
        <f t="shared" si="95"/>
        <v>-15.345471031931286</v>
      </c>
      <c r="AD115" s="132">
        <f t="shared" si="96"/>
        <v>-15.589557569451715</v>
      </c>
      <c r="AE115" s="129">
        <f>EDisponible!BF27</f>
        <v>88751.5715157331</v>
      </c>
      <c r="AF115" s="129">
        <f t="shared" si="97"/>
        <v>614876.77793538675</v>
      </c>
      <c r="AG115" s="129">
        <f t="shared" si="98"/>
        <v>-20.148315743737225</v>
      </c>
      <c r="AH115" s="132">
        <f t="shared" si="99"/>
        <v>-20.119450264276974</v>
      </c>
    </row>
    <row r="116" spans="1:34">
      <c r="A116" s="125">
        <v>60</v>
      </c>
      <c r="B116" s="126"/>
      <c r="C116" s="129">
        <f>EDisponible!P28</f>
        <v>363190.52497582306</v>
      </c>
      <c r="D116" s="129">
        <f t="shared" si="76"/>
        <v>173449.26027224865</v>
      </c>
      <c r="E116" s="129">
        <f t="shared" si="77"/>
        <v>7.9268381488250972</v>
      </c>
      <c r="F116" s="132">
        <f t="shared" si="78"/>
        <v>7.5259883520327913</v>
      </c>
      <c r="G116" s="129">
        <f>EDisponible!V28</f>
        <v>307060.80180438125</v>
      </c>
      <c r="H116" s="129">
        <f t="shared" si="79"/>
        <v>197719.39602924406</v>
      </c>
      <c r="I116" s="129">
        <f t="shared" si="80"/>
        <v>4.5679658976584996</v>
      </c>
      <c r="J116" s="132">
        <f t="shared" si="81"/>
        <v>4.3536874656471136</v>
      </c>
      <c r="K116" s="129">
        <f>EDisponible!AB28</f>
        <v>254249.16687711369</v>
      </c>
      <c r="L116" s="129">
        <f t="shared" si="82"/>
        <v>227332.30073749408</v>
      </c>
      <c r="M116" s="129">
        <f t="shared" si="83"/>
        <v>1.1245083756329353</v>
      </c>
      <c r="N116" s="132">
        <f t="shared" si="84"/>
        <v>1.0737006966004587</v>
      </c>
      <c r="O116" s="129">
        <f>EDisponible!AH28</f>
        <v>209058.801259806</v>
      </c>
      <c r="P116" s="129">
        <f t="shared" si="85"/>
        <v>263573.45320104377</v>
      </c>
      <c r="Q116" s="129">
        <f t="shared" si="86"/>
        <v>-2.2774635941887715</v>
      </c>
      <c r="R116" s="132">
        <f t="shared" si="87"/>
        <v>-2.1737739499655033</v>
      </c>
      <c r="S116" s="129">
        <f>EDisponible!AN28</f>
        <v>170615.84884167369</v>
      </c>
      <c r="T116" s="129">
        <f t="shared" si="88"/>
        <v>308120.42755524517</v>
      </c>
      <c r="U116" s="129">
        <f t="shared" si="89"/>
        <v>-5.7445413462785275</v>
      </c>
      <c r="V116" s="132">
        <f t="shared" si="90"/>
        <v>-5.4689629629410863</v>
      </c>
      <c r="W116" s="129">
        <f>EDisponible!AT28</f>
        <v>138118.81795669219</v>
      </c>
      <c r="X116" s="129">
        <f t="shared" si="91"/>
        <v>363183.13515530253</v>
      </c>
      <c r="Y116" s="129">
        <f t="shared" si="92"/>
        <v>-9.4025325397528494</v>
      </c>
      <c r="Z116" s="132">
        <f t="shared" si="93"/>
        <v>-8.906322403253256</v>
      </c>
      <c r="AA116" s="129">
        <f>EDisponible!AZ28</f>
        <v>110835.07297981415</v>
      </c>
      <c r="AB116" s="129">
        <f t="shared" si="94"/>
        <v>431702.90358759428</v>
      </c>
      <c r="AC116" s="129">
        <f t="shared" si="95"/>
        <v>-13.404924671320515</v>
      </c>
      <c r="AD116" s="132">
        <f t="shared" si="96"/>
        <v>-12.593938754048949</v>
      </c>
      <c r="AE116" s="129">
        <f>EDisponible!BF28</f>
        <v>88097.36555815232</v>
      </c>
      <c r="AF116" s="129">
        <f t="shared" si="97"/>
        <v>517639.02464694186</v>
      </c>
      <c r="AG116" s="129">
        <f t="shared" si="98"/>
        <v>-17.945001131377506</v>
      </c>
      <c r="AH116" s="132">
        <f t="shared" si="99"/>
        <v>-16.651048553271877</v>
      </c>
    </row>
    <row r="117" spans="1:34">
      <c r="A117" s="125">
        <v>65</v>
      </c>
      <c r="B117" s="126"/>
      <c r="C117" s="129">
        <f>EDisponible!P29</f>
        <v>359790.81135436572</v>
      </c>
      <c r="D117" s="129">
        <f t="shared" si="76"/>
        <v>151144.90596881977</v>
      </c>
      <c r="E117" s="129">
        <f t="shared" si="77"/>
        <v>9.4430039703767328</v>
      </c>
      <c r="F117" s="132">
        <f t="shared" si="78"/>
        <v>8.2659298441370037</v>
      </c>
      <c r="G117" s="129">
        <f>EDisponible!V29</f>
        <v>304966.49141260918</v>
      </c>
      <c r="H117" s="129">
        <f t="shared" si="79"/>
        <v>171368.20872496782</v>
      </c>
      <c r="I117" s="129">
        <f t="shared" si="80"/>
        <v>6.0464599653835638</v>
      </c>
      <c r="J117" s="132">
        <f t="shared" si="81"/>
        <v>5.3145005214788803</v>
      </c>
      <c r="K117" s="129">
        <f>EDisponible!AB29</f>
        <v>252519.55873164773</v>
      </c>
      <c r="L117" s="129">
        <f t="shared" si="82"/>
        <v>196193.07687077578</v>
      </c>
      <c r="M117" s="129">
        <f t="shared" si="83"/>
        <v>2.5492529597775362</v>
      </c>
      <c r="N117" s="132">
        <f t="shared" si="84"/>
        <v>2.2459479435755458</v>
      </c>
      <c r="O117" s="129">
        <f>EDisponible!AH29</f>
        <v>207641.17824193768</v>
      </c>
      <c r="P117" s="129">
        <f t="shared" si="85"/>
        <v>226711.03685917918</v>
      </c>
      <c r="Q117" s="129">
        <f t="shared" si="86"/>
        <v>-0.86307349432225799</v>
      </c>
      <c r="R117" s="132">
        <f t="shared" si="87"/>
        <v>-0.76073173525879145</v>
      </c>
      <c r="S117" s="129">
        <f>EDisponible!AN29</f>
        <v>169463.4424599034</v>
      </c>
      <c r="T117" s="129">
        <f t="shared" si="88"/>
        <v>264347.87702550361</v>
      </c>
      <c r="U117" s="129">
        <f t="shared" si="89"/>
        <v>-4.2943286649898695</v>
      </c>
      <c r="V117" s="132">
        <f t="shared" si="90"/>
        <v>-3.7798440231938355</v>
      </c>
      <c r="W117" s="129">
        <f>EDisponible!AT29</f>
        <v>137190.34001140355</v>
      </c>
      <c r="X117" s="129">
        <f t="shared" si="91"/>
        <v>310983.14204572595</v>
      </c>
      <c r="Y117" s="129">
        <f t="shared" si="92"/>
        <v>-7.8656042475429944</v>
      </c>
      <c r="Z117" s="132">
        <f t="shared" si="93"/>
        <v>-6.8997740878902905</v>
      </c>
      <c r="AA117" s="129">
        <f>EDisponible!AZ29</f>
        <v>110094.26682110025</v>
      </c>
      <c r="AB117" s="129">
        <f t="shared" si="94"/>
        <v>369119.76075598429</v>
      </c>
      <c r="AC117" s="129">
        <f t="shared" si="95"/>
        <v>-11.72310936625431</v>
      </c>
      <c r="AD117" s="132">
        <f t="shared" si="96"/>
        <v>-10.223703507913926</v>
      </c>
      <c r="AE117" s="129">
        <f>EDisponible!BF29</f>
        <v>87512.576907651601</v>
      </c>
      <c r="AF117" s="129">
        <f t="shared" si="97"/>
        <v>442128.20369361772</v>
      </c>
      <c r="AG117" s="129">
        <f t="shared" si="98"/>
        <v>-16.049376888128904</v>
      </c>
      <c r="AH117" s="132">
        <f t="shared" si="99"/>
        <v>-13.869681596543828</v>
      </c>
    </row>
    <row r="118" spans="1:34">
      <c r="A118" s="125">
        <v>70</v>
      </c>
      <c r="B118" s="126"/>
      <c r="C118" s="129">
        <f>EDisponible!P30</f>
        <v>356556.40294251841</v>
      </c>
      <c r="D118" s="129">
        <f t="shared" si="76"/>
        <v>133965.94718967364</v>
      </c>
      <c r="E118" s="129">
        <f t="shared" si="77"/>
        <v>10.849045438163484</v>
      </c>
      <c r="F118" s="132">
        <f t="shared" si="78"/>
        <v>8.8099699957202571</v>
      </c>
      <c r="G118" s="129">
        <f>EDisponible!V30</f>
        <v>303068.60131779587</v>
      </c>
      <c r="H118" s="129">
        <f t="shared" si="79"/>
        <v>150907.57574524681</v>
      </c>
      <c r="I118" s="129">
        <f t="shared" si="80"/>
        <v>7.4163192432074565</v>
      </c>
      <c r="J118" s="132">
        <f t="shared" si="81"/>
        <v>6.0477787458015886</v>
      </c>
      <c r="K118" s="129">
        <f>EDisponible!AB30</f>
        <v>250955.77363614019</v>
      </c>
      <c r="L118" s="129">
        <f t="shared" si="82"/>
        <v>171870.25077990192</v>
      </c>
      <c r="M118" s="129">
        <f t="shared" si="83"/>
        <v>3.8546236318458149</v>
      </c>
      <c r="N118" s="132">
        <f t="shared" si="84"/>
        <v>3.1518691664769802</v>
      </c>
      <c r="O118" s="129">
        <f>EDisponible!AH30</f>
        <v>206362.69347671335</v>
      </c>
      <c r="P118" s="129">
        <f t="shared" si="85"/>
        <v>197791.01672140145</v>
      </c>
      <c r="Q118" s="129">
        <f t="shared" si="86"/>
        <v>0.41778300999071494</v>
      </c>
      <c r="R118" s="132">
        <f t="shared" si="87"/>
        <v>0.34195598584085751</v>
      </c>
      <c r="S118" s="129">
        <f>EDisponible!AN30</f>
        <v>168427.01806229542</v>
      </c>
      <c r="T118" s="129">
        <f t="shared" si="88"/>
        <v>229895.31692628484</v>
      </c>
      <c r="U118" s="129">
        <f t="shared" si="89"/>
        <v>-2.995961193064367</v>
      </c>
      <c r="V118" s="132">
        <f t="shared" si="90"/>
        <v>-2.4507319186947436</v>
      </c>
      <c r="W118" s="129">
        <f>EDisponible!AT30</f>
        <v>136357.85789803416</v>
      </c>
      <c r="X118" s="129">
        <f t="shared" si="91"/>
        <v>269800.02544152871</v>
      </c>
      <c r="Y118" s="129">
        <f t="shared" si="92"/>
        <v>-6.5039632276681507</v>
      </c>
      <c r="Z118" s="132">
        <f t="shared" si="93"/>
        <v>-5.3083258037793701</v>
      </c>
      <c r="AA118" s="129">
        <f>EDisponible!AZ30</f>
        <v>109432.30671677137</v>
      </c>
      <c r="AB118" s="129">
        <f t="shared" si="94"/>
        <v>319659.705952138</v>
      </c>
      <c r="AC118" s="129">
        <f t="shared" si="95"/>
        <v>-10.246470806384872</v>
      </c>
      <c r="AD118" s="132">
        <f t="shared" si="96"/>
        <v>-8.327708479698142</v>
      </c>
      <c r="AE118" s="129">
        <f>EDisponible!BF30</f>
        <v>86992.010999327948</v>
      </c>
      <c r="AF118" s="129">
        <f t="shared" si="97"/>
        <v>382377.13354845525</v>
      </c>
      <c r="AG118" s="129">
        <f t="shared" si="98"/>
        <v>-14.397053123658088</v>
      </c>
      <c r="AH118" s="132">
        <f t="shared" si="99"/>
        <v>-11.622081583854841</v>
      </c>
    </row>
    <row r="119" spans="1:34">
      <c r="A119" s="125">
        <v>75</v>
      </c>
      <c r="B119" s="126"/>
      <c r="C119" s="129">
        <f>EDisponible!P31</f>
        <v>353470.74802251766</v>
      </c>
      <c r="D119" s="129">
        <f t="shared" si="76"/>
        <v>120629.65199613459</v>
      </c>
      <c r="E119" s="129">
        <f t="shared" si="77"/>
        <v>12.159279674084328</v>
      </c>
      <c r="F119" s="132">
        <f t="shared" si="78"/>
        <v>9.2088808919589802</v>
      </c>
      <c r="G119" s="129">
        <f>EDisponible!V31</f>
        <v>301353.2592546143</v>
      </c>
      <c r="H119" s="129">
        <f t="shared" si="79"/>
        <v>134852.61962863454</v>
      </c>
      <c r="I119" s="129">
        <f t="shared" si="80"/>
        <v>8.6948905398418912</v>
      </c>
      <c r="J119" s="132">
        <f t="shared" si="81"/>
        <v>6.6128863538213141</v>
      </c>
      <c r="K119" s="129">
        <f>EDisponible!AB31</f>
        <v>249546.18457401154</v>
      </c>
      <c r="L119" s="129">
        <f t="shared" si="82"/>
        <v>152635.96199408508</v>
      </c>
      <c r="M119" s="129">
        <f t="shared" si="83"/>
        <v>5.0607840271185163</v>
      </c>
      <c r="N119" s="132">
        <f t="shared" si="84"/>
        <v>3.8603024466793574</v>
      </c>
      <c r="O119" s="129">
        <f>EDisponible!AH31</f>
        <v>205213.66523017568</v>
      </c>
      <c r="P119" s="129">
        <f t="shared" si="85"/>
        <v>174791.50406815176</v>
      </c>
      <c r="Q119" s="129">
        <f t="shared" si="86"/>
        <v>1.5886867575009214</v>
      </c>
      <c r="R119" s="132">
        <f t="shared" si="87"/>
        <v>1.2134858078472075</v>
      </c>
      <c r="S119" s="129">
        <f>EDisponible!AN31</f>
        <v>167498.57026508707</v>
      </c>
      <c r="T119" s="129">
        <f t="shared" si="88"/>
        <v>202382.49618108117</v>
      </c>
      <c r="U119" s="129">
        <f t="shared" si="89"/>
        <v>-1.8216861996498628</v>
      </c>
      <c r="V119" s="132">
        <f t="shared" si="90"/>
        <v>-1.3913921643353682</v>
      </c>
      <c r="W119" s="129">
        <f>EDisponible!AT31</f>
        <v>135614.80247291495</v>
      </c>
      <c r="X119" s="129">
        <f t="shared" si="91"/>
        <v>236813.36426814634</v>
      </c>
      <c r="Y119" s="129">
        <f t="shared" si="92"/>
        <v>-5.2847269510529049</v>
      </c>
      <c r="Z119" s="132">
        <f t="shared" si="93"/>
        <v>-4.0305721634031482</v>
      </c>
      <c r="AA119" s="129">
        <f>EDisponible!AZ31</f>
        <v>108843.84634558538</v>
      </c>
      <c r="AB119" s="129">
        <f t="shared" si="94"/>
        <v>279957.11574915564</v>
      </c>
      <c r="AC119" s="129">
        <f t="shared" si="95"/>
        <v>-8.9357683593329025</v>
      </c>
      <c r="AD119" s="132">
        <f t="shared" si="96"/>
        <v>-6.7943957321342392</v>
      </c>
      <c r="AE119" s="129">
        <f>EDisponible!BF31</f>
        <v>86531.355560697208</v>
      </c>
      <c r="AF119" s="129">
        <f t="shared" si="97"/>
        <v>334338.72540767904</v>
      </c>
      <c r="AG119" s="129">
        <f t="shared" si="98"/>
        <v>-12.940838909842981</v>
      </c>
      <c r="AH119" s="132">
        <f t="shared" si="99"/>
        <v>-9.7896806782263006</v>
      </c>
    </row>
    <row r="120" spans="1:34">
      <c r="A120" s="125">
        <v>80</v>
      </c>
      <c r="B120" s="126"/>
      <c r="C120" s="129">
        <f>EDisponible!P32</f>
        <v>350519.7594518516</v>
      </c>
      <c r="D120" s="129">
        <f t="shared" si="76"/>
        <v>110241.14949958451</v>
      </c>
      <c r="E120" s="129">
        <f t="shared" si="77"/>
        <v>13.38418858397765</v>
      </c>
      <c r="F120" s="132">
        <f t="shared" si="78"/>
        <v>9.4977565521809595</v>
      </c>
      <c r="G120" s="129">
        <f>EDisponible!V32</f>
        <v>299808.79130058875</v>
      </c>
      <c r="H120" s="129">
        <f t="shared" si="79"/>
        <v>122167.4469251046</v>
      </c>
      <c r="I120" s="129">
        <f t="shared" si="80"/>
        <v>9.8951182292303095</v>
      </c>
      <c r="J120" s="132">
        <f t="shared" si="81"/>
        <v>7.0510440502268414</v>
      </c>
      <c r="K120" s="129">
        <f>EDisponible!AB32</f>
        <v>248281.00764869625</v>
      </c>
      <c r="L120" s="129">
        <f t="shared" si="82"/>
        <v>137284.80509050703</v>
      </c>
      <c r="M120" s="129">
        <f t="shared" si="83"/>
        <v>6.182797992044776</v>
      </c>
      <c r="N120" s="132">
        <f t="shared" si="84"/>
        <v>4.4193180384616433</v>
      </c>
      <c r="O120" s="129">
        <f>EDisponible!AH32</f>
        <v>204185.9471823184</v>
      </c>
      <c r="P120" s="129">
        <f t="shared" si="85"/>
        <v>156301.97086889978</v>
      </c>
      <c r="Q120" s="129">
        <f t="shared" si="86"/>
        <v>2.6672710036770657</v>
      </c>
      <c r="R120" s="132">
        <f t="shared" si="87"/>
        <v>1.9095847770065102</v>
      </c>
      <c r="S120" s="129">
        <f>EDisponible!AN32</f>
        <v>166671.36396846198</v>
      </c>
      <c r="T120" s="129">
        <f t="shared" si="88"/>
        <v>180148.88281766442</v>
      </c>
      <c r="U120" s="129">
        <f t="shared" si="89"/>
        <v>-0.7507353815542448</v>
      </c>
      <c r="V120" s="132">
        <f t="shared" si="90"/>
        <v>-0.53765882892008343</v>
      </c>
      <c r="W120" s="129">
        <f>EDisponible!AT32</f>
        <v>134955.64773737919</v>
      </c>
      <c r="X120" s="129">
        <f t="shared" si="91"/>
        <v>210055.55123587642</v>
      </c>
      <c r="Y120" s="129">
        <f t="shared" si="92"/>
        <v>-4.1832740386757266</v>
      </c>
      <c r="Z120" s="132">
        <f t="shared" si="93"/>
        <v>-2.9933230682995018</v>
      </c>
      <c r="AA120" s="129">
        <f>EDisponible!AZ32</f>
        <v>108324.38914076731</v>
      </c>
      <c r="AB120" s="129">
        <f t="shared" si="94"/>
        <v>247664.03393266854</v>
      </c>
      <c r="AC120" s="129">
        <f t="shared" si="95"/>
        <v>-7.761606759293926</v>
      </c>
      <c r="AD120" s="132">
        <f t="shared" si="96"/>
        <v>-5.5414976174093535</v>
      </c>
      <c r="AE120" s="129">
        <f>EDisponible!BF32</f>
        <v>86126.984517968202</v>
      </c>
      <c r="AF120" s="129">
        <f t="shared" si="97"/>
        <v>295189.61310650001</v>
      </c>
      <c r="AG120" s="129">
        <f t="shared" si="98"/>
        <v>-11.645371377197723</v>
      </c>
      <c r="AH120" s="132">
        <f t="shared" si="99"/>
        <v>-8.2822103820734956</v>
      </c>
    </row>
    <row r="121" spans="1:34">
      <c r="A121" s="125">
        <v>85</v>
      </c>
      <c r="B121" s="126"/>
      <c r="C121" s="129">
        <f>EDisponible!P33</f>
        <v>347691.27159981907</v>
      </c>
      <c r="D121" s="129">
        <f t="shared" si="76"/>
        <v>102160.75707777443</v>
      </c>
      <c r="E121" s="129">
        <f t="shared" si="77"/>
        <v>14.531530207872009</v>
      </c>
      <c r="F121" s="132">
        <f t="shared" si="78"/>
        <v>9.7014500974876281</v>
      </c>
      <c r="G121" s="129">
        <f>EDisponible!V33</f>
        <v>298425.26196016144</v>
      </c>
      <c r="H121" s="129">
        <f t="shared" si="79"/>
        <v>112111.5675294235</v>
      </c>
      <c r="I121" s="129">
        <f t="shared" si="80"/>
        <v>11.026829329262132</v>
      </c>
      <c r="J121" s="132">
        <f t="shared" si="81"/>
        <v>7.3915525538262017</v>
      </c>
      <c r="K121" s="129">
        <f>EDisponible!AB33</f>
        <v>247151.91702030363</v>
      </c>
      <c r="L121" s="129">
        <f t="shared" si="82"/>
        <v>124955.11732926997</v>
      </c>
      <c r="M121" s="129">
        <f t="shared" si="83"/>
        <v>7.232121390174953</v>
      </c>
      <c r="N121" s="132">
        <f t="shared" si="84"/>
        <v>4.8632287531242078</v>
      </c>
      <c r="O121" s="129">
        <f>EDisponible!AH33</f>
        <v>203272.60813285236</v>
      </c>
      <c r="P121" s="129">
        <f t="shared" si="85"/>
        <v>141314.12611675111</v>
      </c>
      <c r="Q121" s="129">
        <f t="shared" si="86"/>
        <v>3.6669639812530632</v>
      </c>
      <c r="R121" s="132">
        <f t="shared" si="87"/>
        <v>2.4702513339423691</v>
      </c>
      <c r="S121" s="129">
        <f>EDisponible!AN33</f>
        <v>165939.66980350338</v>
      </c>
      <c r="T121" s="129">
        <f t="shared" si="88"/>
        <v>162007.47493460606</v>
      </c>
      <c r="U121" s="129">
        <f t="shared" si="89"/>
        <v>0.23272385769179177</v>
      </c>
      <c r="V121" s="132">
        <f t="shared" si="90"/>
        <v>0.15687131199212709</v>
      </c>
      <c r="W121" s="129">
        <f>EDisponible!AT33</f>
        <v>134375.69397706931</v>
      </c>
      <c r="X121" s="129">
        <f t="shared" si="91"/>
        <v>188120.07708551516</v>
      </c>
      <c r="Y121" s="129">
        <f t="shared" si="92"/>
        <v>-3.1808190039601247</v>
      </c>
      <c r="Z121" s="132">
        <f t="shared" si="93"/>
        <v>-2.143088293547863</v>
      </c>
      <c r="AA121" s="129">
        <f>EDisponible!AZ33</f>
        <v>107870.11197835262</v>
      </c>
      <c r="AB121" s="129">
        <f t="shared" si="94"/>
        <v>221102.06554398863</v>
      </c>
      <c r="AC121" s="129">
        <f t="shared" si="95"/>
        <v>-6.7015440298263504</v>
      </c>
      <c r="AD121" s="132">
        <f t="shared" si="96"/>
        <v>-4.5079712397783354</v>
      </c>
      <c r="AE121" s="129">
        <f>EDisponible!BF33</f>
        <v>85775.815924920462</v>
      </c>
      <c r="AF121" s="129">
        <f t="shared" si="97"/>
        <v>262911.56329435052</v>
      </c>
      <c r="AG121" s="129">
        <f t="shared" si="98"/>
        <v>-10.483639757785584</v>
      </c>
      <c r="AH121" s="132">
        <f t="shared" si="99"/>
        <v>-7.0311767551848936</v>
      </c>
    </row>
    <row r="122" spans="1:34">
      <c r="A122" s="125">
        <v>90</v>
      </c>
      <c r="B122" s="126"/>
      <c r="C122" s="129">
        <f>EDisponible!P34</f>
        <v>344974.63870980369</v>
      </c>
      <c r="D122" s="129">
        <f t="shared" si="76"/>
        <v>95921.386150002843</v>
      </c>
      <c r="E122" s="129">
        <f t="shared" si="77"/>
        <v>15.607080725673143</v>
      </c>
      <c r="F122" s="132">
        <f t="shared" si="78"/>
        <v>9.8379401542869527</v>
      </c>
      <c r="G122" s="129">
        <f>EDisponible!V34</f>
        <v>297194.13365650852</v>
      </c>
      <c r="H122" s="129">
        <f t="shared" si="79"/>
        <v>104144.28444553848</v>
      </c>
      <c r="I122" s="129">
        <f t="shared" si="80"/>
        <v>12.097591779056131</v>
      </c>
      <c r="J122" s="132">
        <f t="shared" si="81"/>
        <v>7.655678311155425</v>
      </c>
      <c r="K122" s="129">
        <f>EDisponible!AB34</f>
        <v>246151.75978462372</v>
      </c>
      <c r="L122" s="129">
        <f t="shared" si="82"/>
        <v>115017.72290940046</v>
      </c>
      <c r="M122" s="129">
        <f t="shared" si="83"/>
        <v>8.2175979569011606</v>
      </c>
      <c r="N122" s="132">
        <f t="shared" si="84"/>
        <v>5.2170195032358491</v>
      </c>
      <c r="O122" s="129">
        <f>EDisponible!AH34</f>
        <v>202467.69481032461</v>
      </c>
      <c r="P122" s="129">
        <f t="shared" si="85"/>
        <v>129091.72780830618</v>
      </c>
      <c r="Q122" s="129">
        <f t="shared" si="86"/>
        <v>4.5981517147617135</v>
      </c>
      <c r="R122" s="132">
        <f t="shared" si="87"/>
        <v>2.9247313100026129</v>
      </c>
      <c r="S122" s="129">
        <f>EDisponible!AN34</f>
        <v>165298.56819453879</v>
      </c>
      <c r="T122" s="129">
        <f t="shared" si="88"/>
        <v>147091.53797613646</v>
      </c>
      <c r="U122" s="129">
        <f t="shared" si="89"/>
        <v>1.1409551470328434</v>
      </c>
      <c r="V122" s="132">
        <f t="shared" si="90"/>
        <v>0.72631569809475305</v>
      </c>
      <c r="W122" s="129">
        <f>EDisponible!AT34</f>
        <v>133870.90712433326</v>
      </c>
      <c r="X122" s="129">
        <f t="shared" si="91"/>
        <v>169979.92562063204</v>
      </c>
      <c r="Y122" s="129">
        <f t="shared" si="92"/>
        <v>-2.2627946465434845</v>
      </c>
      <c r="Z122" s="132">
        <f t="shared" si="93"/>
        <v>-1.4402363925187998</v>
      </c>
      <c r="AA122" s="129">
        <f>EDisponible!AZ34</f>
        <v>107477.73455580589</v>
      </c>
      <c r="AB122" s="129">
        <f t="shared" si="94"/>
        <v>199045.66670894565</v>
      </c>
      <c r="AC122" s="129">
        <f t="shared" si="95"/>
        <v>-5.7381627997565161</v>
      </c>
      <c r="AD122" s="132">
        <f t="shared" si="96"/>
        <v>-3.6480900784958279</v>
      </c>
      <c r="AE122" s="129">
        <f>EDisponible!BF34</f>
        <v>85475.206691032101</v>
      </c>
      <c r="AF122" s="129">
        <f t="shared" si="97"/>
        <v>236030.88617811559</v>
      </c>
      <c r="AG122" s="129">
        <f t="shared" si="98"/>
        <v>-9.4346675633127202</v>
      </c>
      <c r="AH122" s="132">
        <f t="shared" si="99"/>
        <v>-5.9844382867980492</v>
      </c>
    </row>
    <row r="123" spans="1:34">
      <c r="A123" s="125">
        <v>95</v>
      </c>
      <c r="B123" s="126"/>
      <c r="C123" s="129">
        <f>EDisponible!P35</f>
        <v>342360.43197293096</v>
      </c>
      <c r="D123" s="129">
        <f t="shared" si="76"/>
        <v>91175.533187527515</v>
      </c>
      <c r="E123" s="129">
        <f t="shared" si="77"/>
        <v>16.615142899559864</v>
      </c>
      <c r="F123" s="132">
        <f t="shared" si="78"/>
        <v>9.9204771090698465</v>
      </c>
      <c r="G123" s="129">
        <f>EDisponible!V35</f>
        <v>296108.00965019141</v>
      </c>
      <c r="H123" s="129">
        <f t="shared" si="79"/>
        <v>97863.331118727947</v>
      </c>
      <c r="I123" s="129">
        <f t="shared" si="80"/>
        <v>13.113302904772322</v>
      </c>
      <c r="J123" s="132">
        <f t="shared" si="81"/>
        <v>7.8591457164196079</v>
      </c>
      <c r="K123" s="129">
        <f>EDisponible!AB35</f>
        <v>245274.34068283299</v>
      </c>
      <c r="L123" s="129">
        <f t="shared" si="82"/>
        <v>107004.52901066921</v>
      </c>
      <c r="M123" s="129">
        <f t="shared" si="83"/>
        <v>9.146141709701114</v>
      </c>
      <c r="N123" s="132">
        <f t="shared" si="84"/>
        <v>5.4992124759579726</v>
      </c>
      <c r="O123" s="129">
        <f>EDisponible!AH35</f>
        <v>201766.05274977986</v>
      </c>
      <c r="P123" s="129">
        <f t="shared" si="85"/>
        <v>119087.02824696033</v>
      </c>
      <c r="Q123" s="129">
        <f t="shared" si="86"/>
        <v>5.4689745026598153</v>
      </c>
      <c r="R123" s="132">
        <f t="shared" si="87"/>
        <v>3.2947756627180471</v>
      </c>
      <c r="S123" s="129">
        <f>EDisponible!AN35</f>
        <v>164743.80136962674</v>
      </c>
      <c r="T123" s="129">
        <f t="shared" si="88"/>
        <v>134756.24068528006</v>
      </c>
      <c r="U123" s="129">
        <f t="shared" si="89"/>
        <v>1.983589015059837</v>
      </c>
      <c r="V123" s="132">
        <f t="shared" si="90"/>
        <v>1.1961554421472109</v>
      </c>
      <c r="W123" s="129">
        <f>EDisponible!AT35</f>
        <v>133437.797411818</v>
      </c>
      <c r="X123" s="129">
        <f t="shared" si="91"/>
        <v>154871.01960388769</v>
      </c>
      <c r="Y123" s="129">
        <f t="shared" si="92"/>
        <v>-1.4177446623632366</v>
      </c>
      <c r="Z123" s="132">
        <f t="shared" si="93"/>
        <v>-0.85499743112663185</v>
      </c>
      <c r="AA123" s="129">
        <f>EDisponible!AZ35</f>
        <v>107144.42070347619</v>
      </c>
      <c r="AB123" s="129">
        <f t="shared" si="94"/>
        <v>180583.06000779881</v>
      </c>
      <c r="AC123" s="129">
        <f t="shared" si="95"/>
        <v>-4.8577501764268485</v>
      </c>
      <c r="AD123" s="132">
        <f t="shared" si="96"/>
        <v>-2.9272250554836101</v>
      </c>
      <c r="AE123" s="129">
        <f>EDisponible!BF35</f>
        <v>85222.873030687013</v>
      </c>
      <c r="AF123" s="129">
        <f t="shared" si="97"/>
        <v>213451.18928635112</v>
      </c>
      <c r="AG123" s="129">
        <f t="shared" si="98"/>
        <v>-8.4819262967635893</v>
      </c>
      <c r="AH123" s="132">
        <f t="shared" si="99"/>
        <v>-5.1020356748344096</v>
      </c>
    </row>
    <row r="124" spans="1:34">
      <c r="A124" s="125">
        <v>100</v>
      </c>
      <c r="B124" s="126"/>
      <c r="C124" s="129">
        <f>EDisponible!P36</f>
        <v>339840.20704926195</v>
      </c>
      <c r="D124" s="129">
        <f t="shared" si="76"/>
        <v>87660.336429770468</v>
      </c>
      <c r="E124" s="129">
        <f t="shared" si="77"/>
        <v>17.55890248680932</v>
      </c>
      <c r="F124" s="132">
        <f t="shared" si="78"/>
        <v>9.9589880271789646</v>
      </c>
      <c r="G124" s="129">
        <f>EDisponible!V36</f>
        <v>295160.4365717147</v>
      </c>
      <c r="H124" s="129">
        <f t="shared" si="79"/>
        <v>92964.421445255037</v>
      </c>
      <c r="I124" s="129">
        <f t="shared" si="80"/>
        <v>14.078602325020439</v>
      </c>
      <c r="J124" s="132">
        <f t="shared" si="81"/>
        <v>8.0137757001492123</v>
      </c>
      <c r="K124" s="129">
        <f>EDisponible!AB36</f>
        <v>244514.25671274634</v>
      </c>
      <c r="L124" s="129">
        <f t="shared" si="82"/>
        <v>100561.45663052694</v>
      </c>
      <c r="M124" s="129">
        <f t="shared" si="83"/>
        <v>10.02321546576081</v>
      </c>
      <c r="N124" s="132">
        <f t="shared" si="84"/>
        <v>5.7237626187920796</v>
      </c>
      <c r="O124" s="129">
        <f>EDisponible!AH36</f>
        <v>201163.18866932034</v>
      </c>
      <c r="P124" s="129">
        <f t="shared" si="85"/>
        <v>110885.6951685114</v>
      </c>
      <c r="Q124" s="129">
        <f t="shared" si="86"/>
        <v>6.285885155068935</v>
      </c>
      <c r="R124" s="132">
        <f t="shared" si="87"/>
        <v>3.596814593260437</v>
      </c>
      <c r="S124" s="129">
        <f>EDisponible!AN36</f>
        <v>164271.65963975716</v>
      </c>
      <c r="T124" s="129">
        <f t="shared" si="88"/>
        <v>124513.81397348159</v>
      </c>
      <c r="U124" s="129">
        <f t="shared" si="89"/>
        <v>2.7682785839520894</v>
      </c>
      <c r="V124" s="132">
        <f t="shared" si="90"/>
        <v>1.5857018160496315</v>
      </c>
      <c r="W124" s="129">
        <f>EDisponible!AT36</f>
        <v>133073.32610977374</v>
      </c>
      <c r="X124" s="129">
        <f t="shared" si="91"/>
        <v>142215.38882429895</v>
      </c>
      <c r="Y124" s="129">
        <f t="shared" si="92"/>
        <v>-0.63654798195552775</v>
      </c>
      <c r="Z124" s="132">
        <f t="shared" si="93"/>
        <v>-0.36471020235135221</v>
      </c>
      <c r="AA124" s="129">
        <f>EDisponible!AZ36</f>
        <v>106867.70252222659</v>
      </c>
      <c r="AB124" s="129">
        <f t="shared" si="94"/>
        <v>165024.55052241063</v>
      </c>
      <c r="AC124" s="129">
        <f t="shared" si="95"/>
        <v>-4.0493732527773556</v>
      </c>
      <c r="AD124" s="132">
        <f t="shared" si="96"/>
        <v>-2.3188530837509362</v>
      </c>
      <c r="AE124" s="129">
        <f>EDisponible!BF36</f>
        <v>85016.829299970108</v>
      </c>
      <c r="AF124" s="129">
        <f t="shared" si="97"/>
        <v>194343.12951462451</v>
      </c>
      <c r="AG124" s="129">
        <f t="shared" si="98"/>
        <v>-7.6122247187971377</v>
      </c>
      <c r="AH124" s="132">
        <f t="shared" si="99"/>
        <v>-4.3530883139660981</v>
      </c>
    </row>
    <row r="125" spans="1:34">
      <c r="A125" s="125">
        <v>105</v>
      </c>
      <c r="B125" s="126"/>
      <c r="C125" s="129">
        <f>EDisponible!P37</f>
        <v>337406.32285816589</v>
      </c>
      <c r="D125" s="129">
        <f t="shared" si="76"/>
        <v>85173.989734887436</v>
      </c>
      <c r="E125" s="129">
        <f t="shared" si="77"/>
        <v>18.44068314007302</v>
      </c>
      <c r="F125" s="132">
        <f t="shared" si="78"/>
        <v>9.9610183645542669</v>
      </c>
      <c r="G125" s="129">
        <f>EDisponible!V37</f>
        <v>294345.7504059567</v>
      </c>
      <c r="H125" s="129">
        <f t="shared" si="79"/>
        <v>89213.946685389441</v>
      </c>
      <c r="I125" s="129">
        <f t="shared" si="80"/>
        <v>14.99716768077392</v>
      </c>
      <c r="J125" s="132">
        <f t="shared" si="81"/>
        <v>8.1285877356828653</v>
      </c>
      <c r="K125" s="129">
        <f>EDisponible!AB37</f>
        <v>243866.76811507836</v>
      </c>
      <c r="L125" s="129">
        <f t="shared" si="82"/>
        <v>95416.669662971137</v>
      </c>
      <c r="M125" s="129">
        <f t="shared" si="83"/>
        <v>10.853173317514338</v>
      </c>
      <c r="N125" s="132">
        <f t="shared" si="84"/>
        <v>5.9013383441145555</v>
      </c>
      <c r="O125" s="129">
        <f>EDisponible!AH37</f>
        <v>200655.16309880713</v>
      </c>
      <c r="P125" s="129">
        <f t="shared" si="85"/>
        <v>104169.63439487736</v>
      </c>
      <c r="Q125" s="129">
        <f t="shared" si="86"/>
        <v>7.0540483069709268</v>
      </c>
      <c r="R125" s="132">
        <f t="shared" si="87"/>
        <v>3.8434360904197051</v>
      </c>
      <c r="S125" s="129">
        <f>EDisponible!AN37</f>
        <v>163878.89266139604</v>
      </c>
      <c r="T125" s="129">
        <f t="shared" si="88"/>
        <v>115989.78420997885</v>
      </c>
      <c r="U125" s="129">
        <f t="shared" si="89"/>
        <v>3.5011684024726466</v>
      </c>
      <c r="V125" s="132">
        <f t="shared" si="90"/>
        <v>1.9097892920956214</v>
      </c>
      <c r="W125" s="129">
        <f>EDisponible!AT37</f>
        <v>132774.8327392783</v>
      </c>
      <c r="X125" s="129">
        <f t="shared" si="91"/>
        <v>131569.30978962823</v>
      </c>
      <c r="Y125" s="129">
        <f t="shared" si="92"/>
        <v>8.813567419097651E-2</v>
      </c>
      <c r="Z125" s="132">
        <f t="shared" si="93"/>
        <v>4.8093342568589464E-2</v>
      </c>
      <c r="AA125" s="129">
        <f>EDisponible!AZ37</f>
        <v>106645.42116521565</v>
      </c>
      <c r="AB125" s="129">
        <f t="shared" si="94"/>
        <v>151840.64065612477</v>
      </c>
      <c r="AC125" s="129">
        <f t="shared" si="95"/>
        <v>-3.3042184233794027</v>
      </c>
      <c r="AD125" s="132">
        <f t="shared" si="96"/>
        <v>-1.8024315684951171</v>
      </c>
      <c r="AE125" s="129">
        <f>EDisponible!BF37</f>
        <v>84855.340242475781</v>
      </c>
      <c r="AF125" s="129">
        <f t="shared" si="97"/>
        <v>178069.99754545055</v>
      </c>
      <c r="AG125" s="129">
        <f t="shared" si="98"/>
        <v>-6.8149151936620243</v>
      </c>
      <c r="AH125" s="132">
        <f t="shared" si="99"/>
        <v>-3.7135140740104857</v>
      </c>
    </row>
    <row r="126" spans="1:34">
      <c r="A126" s="125">
        <v>110</v>
      </c>
      <c r="B126" s="126"/>
      <c r="C126" s="129">
        <f>EDisponible!P38</f>
        <v>335051.79833197762</v>
      </c>
      <c r="D126" s="129">
        <f t="shared" si="76"/>
        <v>83559.482821883415</v>
      </c>
      <c r="E126" s="129">
        <f t="shared" si="77"/>
        <v>19.262131972362674</v>
      </c>
      <c r="F126" s="132">
        <f t="shared" si="78"/>
        <v>9.9323768064460882</v>
      </c>
      <c r="G126" s="129">
        <f>EDisponible!V38</f>
        <v>293658.95471207483</v>
      </c>
      <c r="H126" s="129">
        <f t="shared" si="79"/>
        <v>86430.15333285628</v>
      </c>
      <c r="I126" s="129">
        <f t="shared" si="80"/>
        <v>15.871930371092491</v>
      </c>
      <c r="J126" s="132">
        <f t="shared" si="81"/>
        <v>8.2105563956933771</v>
      </c>
      <c r="K126" s="129">
        <f>EDisponible!AB38</f>
        <v>243327.6963469839</v>
      </c>
      <c r="L126" s="129">
        <f t="shared" si="82"/>
        <v>91358.672744193449</v>
      </c>
      <c r="M126" s="129">
        <f t="shared" si="83"/>
        <v>11.639510266589262</v>
      </c>
      <c r="N126" s="132">
        <f t="shared" si="84"/>
        <v>6.0402039032394361</v>
      </c>
      <c r="O126" s="129">
        <f>EDisponible!AH38</f>
        <v>200238.5054548867</v>
      </c>
      <c r="P126" s="129">
        <f t="shared" si="85"/>
        <v>98691.360612543343</v>
      </c>
      <c r="Q126" s="129">
        <f t="shared" si="86"/>
        <v>7.7776313021832122</v>
      </c>
      <c r="R126" s="132">
        <f t="shared" si="87"/>
        <v>4.044409658862997</v>
      </c>
      <c r="S126" s="129">
        <f>EDisponible!AN38</f>
        <v>163562.63923757305</v>
      </c>
      <c r="T126" s="129">
        <f t="shared" si="88"/>
        <v>108892.80144152498</v>
      </c>
      <c r="U126" s="129">
        <f t="shared" si="89"/>
        <v>4.1872358143399104</v>
      </c>
      <c r="V126" s="132">
        <f t="shared" si="90"/>
        <v>2.1799560304930901</v>
      </c>
      <c r="W126" s="129">
        <f>EDisponible!AT38</f>
        <v>132539.97748070644</v>
      </c>
      <c r="X126" s="129">
        <f t="shared" si="91"/>
        <v>122587.5544034277</v>
      </c>
      <c r="Y126" s="129">
        <f t="shared" si="92"/>
        <v>0.76226936147333879</v>
      </c>
      <c r="Z126" s="132">
        <f t="shared" si="93"/>
        <v>0.39703743801199987</v>
      </c>
      <c r="AA126" s="129">
        <f>EDisponible!AZ38</f>
        <v>106475.6799725747</v>
      </c>
      <c r="AB126" s="129">
        <f t="shared" si="94"/>
        <v>140619.36789046929</v>
      </c>
      <c r="AC126" s="129">
        <f t="shared" si="95"/>
        <v>-2.6151106102931925</v>
      </c>
      <c r="AD126" s="132">
        <f t="shared" si="96"/>
        <v>-1.3618780191166486</v>
      </c>
      <c r="AE126" s="129">
        <f>EDisponible!BF38</f>
        <v>84736.88318804992</v>
      </c>
      <c r="AF126" s="129">
        <f t="shared" si="97"/>
        <v>164136.41743071863</v>
      </c>
      <c r="AG126" s="129">
        <f t="shared" si="98"/>
        <v>-6.0813162582099967</v>
      </c>
      <c r="AH126" s="132">
        <f t="shared" si="99"/>
        <v>-3.1643583731610017</v>
      </c>
    </row>
    <row r="127" spans="1:34">
      <c r="A127" s="125">
        <v>115</v>
      </c>
      <c r="B127" s="126"/>
      <c r="C127" s="129">
        <f>EDisponible!P39</f>
        <v>332770.19771687372</v>
      </c>
      <c r="D127" s="129">
        <f t="shared" si="76"/>
        <v>82693.177932513674</v>
      </c>
      <c r="E127" s="129">
        <f t="shared" si="77"/>
        <v>20.024356792904857</v>
      </c>
      <c r="F127" s="132">
        <f t="shared" si="78"/>
        <v>9.8775854036465596</v>
      </c>
      <c r="G127" s="129">
        <f>EDisponible!V39</f>
        <v>293095.62313872651</v>
      </c>
      <c r="H127" s="129">
        <f t="shared" si="79"/>
        <v>84469.91957469839</v>
      </c>
      <c r="I127" s="129">
        <f t="shared" si="80"/>
        <v>16.705235562784686</v>
      </c>
      <c r="J127" s="132">
        <f t="shared" si="81"/>
        <v>8.2651405653931533</v>
      </c>
      <c r="K127" s="129">
        <f>EDisponible!AB39</f>
        <v>242893.34239698388</v>
      </c>
      <c r="L127" s="129">
        <f t="shared" si="82"/>
        <v>88220.92383315906</v>
      </c>
      <c r="M127" s="129">
        <f t="shared" si="83"/>
        <v>12.385047206713594</v>
      </c>
      <c r="N127" s="132">
        <f t="shared" si="84"/>
        <v>6.1468383372106317</v>
      </c>
      <c r="O127" s="129">
        <f>EDisponible!AH39</f>
        <v>199910.14603609068</v>
      </c>
      <c r="P127" s="129">
        <f t="shared" si="85"/>
        <v>94255.991491718363</v>
      </c>
      <c r="Q127" s="129">
        <f t="shared" si="86"/>
        <v>8.4600195934578046</v>
      </c>
      <c r="R127" s="132">
        <f t="shared" si="87"/>
        <v>4.2074071850368409</v>
      </c>
      <c r="S127" s="129">
        <f>EDisponible!AN39</f>
        <v>163320.37109459948</v>
      </c>
      <c r="T127" s="129">
        <f t="shared" si="88"/>
        <v>102993.44212428688</v>
      </c>
      <c r="U127" s="129">
        <f t="shared" si="89"/>
        <v>4.8305436099783412</v>
      </c>
      <c r="V127" s="132">
        <f t="shared" si="90"/>
        <v>2.4052796213620833</v>
      </c>
      <c r="W127" s="129">
        <f>EDisponible!AT39</f>
        <v>132366.69503853243</v>
      </c>
      <c r="X127" s="129">
        <f t="shared" si="91"/>
        <v>114998.2727737198</v>
      </c>
      <c r="Y127" s="129">
        <f t="shared" si="92"/>
        <v>1.3907374802384453</v>
      </c>
      <c r="Z127" s="132">
        <f t="shared" si="93"/>
        <v>0.69286525056571069</v>
      </c>
      <c r="AA127" s="129">
        <f>EDisponible!AZ39</f>
        <v>106356.80692044395</v>
      </c>
      <c r="AB127" s="129">
        <f t="shared" si="94"/>
        <v>131036.33230754173</v>
      </c>
      <c r="AC127" s="129">
        <f t="shared" si="95"/>
        <v>-1.9761576743714304</v>
      </c>
      <c r="AD127" s="132">
        <f t="shared" si="96"/>
        <v>-0.98447262273271763</v>
      </c>
      <c r="AE127" s="129">
        <f>EDisponible!BF39</f>
        <v>84660.117757138243</v>
      </c>
      <c r="AF127" s="129">
        <f t="shared" si="97"/>
        <v>152152.30534072992</v>
      </c>
      <c r="AG127" s="129">
        <f t="shared" si="98"/>
        <v>-5.4042856319740311</v>
      </c>
      <c r="AH127" s="132">
        <f t="shared" si="99"/>
        <v>-2.6905662568008046</v>
      </c>
    </row>
    <row r="128" spans="1:34">
      <c r="A128" s="125">
        <v>120</v>
      </c>
      <c r="B128" s="126"/>
      <c r="C128" s="129">
        <f>EDisponible!P40</f>
        <v>330555.53763834399</v>
      </c>
      <c r="D128" s="129">
        <f t="shared" si="76"/>
        <v>82476.646051377029</v>
      </c>
      <c r="E128" s="129">
        <f t="shared" si="77"/>
        <v>20.728029032819766</v>
      </c>
      <c r="F128" s="132">
        <f t="shared" si="78"/>
        <v>9.8001993163195102</v>
      </c>
      <c r="G128" s="129">
        <f>EDisponible!V40</f>
        <v>292651.82051278109</v>
      </c>
      <c r="H128" s="129">
        <f t="shared" si="79"/>
        <v>83219.304982588728</v>
      </c>
      <c r="I128" s="129">
        <f t="shared" si="80"/>
        <v>17.498962666900148</v>
      </c>
      <c r="J128" s="132">
        <f t="shared" si="81"/>
        <v>8.2966599933246936</v>
      </c>
      <c r="K128" s="129">
        <f>EDisponible!AB40</f>
        <v>242560.42065191231</v>
      </c>
      <c r="L128" s="129">
        <f t="shared" si="82"/>
        <v>85870.837469287639</v>
      </c>
      <c r="M128" s="129">
        <f t="shared" si="83"/>
        <v>13.092070061153485</v>
      </c>
      <c r="N128" s="132">
        <f t="shared" si="84"/>
        <v>6.2263768670037125</v>
      </c>
      <c r="O128" s="129">
        <f>EDisponible!AH40</f>
        <v>199667.36095533319</v>
      </c>
      <c r="P128" s="129">
        <f t="shared" si="85"/>
        <v>90708.379639625709</v>
      </c>
      <c r="Q128" s="129">
        <f t="shared" si="86"/>
        <v>9.1039786321630896</v>
      </c>
      <c r="R128" s="132">
        <f t="shared" si="87"/>
        <v>4.3385185688320673</v>
      </c>
      <c r="S128" s="129">
        <f>EDisponible!AN40</f>
        <v>163149.84734582761</v>
      </c>
      <c r="T128" s="129">
        <f t="shared" si="88"/>
        <v>98109.060326714549</v>
      </c>
      <c r="U128" s="129">
        <f t="shared" si="89"/>
        <v>5.4344298018479602</v>
      </c>
      <c r="V128" s="132">
        <f t="shared" si="90"/>
        <v>2.5929774161540884</v>
      </c>
      <c r="W128" s="129">
        <f>EDisponible!AT40</f>
        <v>132253.15726760455</v>
      </c>
      <c r="X128" s="129">
        <f t="shared" si="91"/>
        <v>108585.04301139744</v>
      </c>
      <c r="Y128" s="129">
        <f t="shared" si="92"/>
        <v>1.9775699428372082</v>
      </c>
      <c r="Z128" s="132">
        <f t="shared" si="93"/>
        <v>0.94413463129060748</v>
      </c>
      <c r="AA128" s="129">
        <f>EDisponible!AZ40</f>
        <v>106287.32419416885</v>
      </c>
      <c r="AB128" s="129">
        <f t="shared" si="94"/>
        <v>122833.27651923713</v>
      </c>
      <c r="AC128" s="129">
        <f t="shared" si="95"/>
        <v>-1.3824835235908683</v>
      </c>
      <c r="AD128" s="132">
        <f t="shared" si="96"/>
        <v>-0.66005805821650876</v>
      </c>
      <c r="AE128" s="129">
        <f>EDisponible!BF40</f>
        <v>84623.861306572406</v>
      </c>
      <c r="AF128" s="129">
        <f t="shared" si="97"/>
        <v>141807.11239602938</v>
      </c>
      <c r="AG128" s="129">
        <f t="shared" si="98"/>
        <v>-4.7778998091732729</v>
      </c>
      <c r="AH128" s="132">
        <f t="shared" si="99"/>
        <v>-2.2800747577626082</v>
      </c>
    </row>
    <row r="129" spans="1:34">
      <c r="A129" s="125">
        <v>125</v>
      </c>
      <c r="B129" s="126"/>
      <c r="C129" s="129">
        <f>EDisponible!P41</f>
        <v>328402.21096683957</v>
      </c>
      <c r="D129" s="129">
        <f t="shared" si="76"/>
        <v>82830.741486984916</v>
      </c>
      <c r="E129" s="129">
        <f t="shared" si="77"/>
        <v>21.373461904129659</v>
      </c>
      <c r="F129" s="132">
        <f t="shared" si="78"/>
        <v>9.7030375575922072</v>
      </c>
      <c r="G129" s="129">
        <f>EDisponible!V41</f>
        <v>292324.03831155412</v>
      </c>
      <c r="H129" s="129">
        <f t="shared" si="79"/>
        <v>82586.691308069669</v>
      </c>
      <c r="I129" s="129">
        <f t="shared" si="80"/>
        <v>18.254617303660119</v>
      </c>
      <c r="J129" s="132">
        <f t="shared" si="81"/>
        <v>8.3085674178801625</v>
      </c>
      <c r="K129" s="129">
        <f>EDisponible!AB41</f>
        <v>242326.00480857198</v>
      </c>
      <c r="L129" s="129">
        <f t="shared" si="82"/>
        <v>84201.80313822857</v>
      </c>
      <c r="M129" s="129">
        <f t="shared" si="83"/>
        <v>13.762435871237269</v>
      </c>
      <c r="N129" s="132">
        <f t="shared" si="84"/>
        <v>6.2829304645402066</v>
      </c>
      <c r="O129" s="129">
        <f>EDisponible!AH41</f>
        <v>199507.72709308294</v>
      </c>
      <c r="P129" s="129">
        <f t="shared" si="85"/>
        <v>87923.772739746535</v>
      </c>
      <c r="Q129" s="129">
        <f t="shared" si="86"/>
        <v>9.7117771968165272</v>
      </c>
      <c r="R129" s="132">
        <f t="shared" si="87"/>
        <v>4.4426259605358656</v>
      </c>
      <c r="S129" s="129">
        <f>EDisponible!AN41</f>
        <v>163049.07723391466</v>
      </c>
      <c r="T129" s="129">
        <f t="shared" si="88"/>
        <v>94092.792458928787</v>
      </c>
      <c r="U129" s="129">
        <f t="shared" si="89"/>
        <v>6.0016521007518016</v>
      </c>
      <c r="V129" s="132">
        <f t="shared" si="90"/>
        <v>2.7488437060457787</v>
      </c>
      <c r="W129" s="129">
        <f>EDisponible!AT41</f>
        <v>132197.74258706821</v>
      </c>
      <c r="X129" s="129">
        <f t="shared" si="91"/>
        <v>103173.84264964204</v>
      </c>
      <c r="Y129" s="129">
        <f t="shared" si="92"/>
        <v>2.5261127480964913</v>
      </c>
      <c r="Z129" s="132">
        <f t="shared" si="93"/>
        <v>1.1577272043264126</v>
      </c>
      <c r="AA129" s="129">
        <f>EDisponible!AZ41</f>
        <v>106265.92328136072</v>
      </c>
      <c r="AB129" s="129">
        <f t="shared" si="94"/>
        <v>115802.53859294078</v>
      </c>
      <c r="AC129" s="129">
        <f t="shared" si="95"/>
        <v>-0.8300251022161883</v>
      </c>
      <c r="AD129" s="132">
        <f t="shared" si="96"/>
        <v>-0.38044989040825999</v>
      </c>
      <c r="AE129" s="129">
        <f>EDisponible!BF41</f>
        <v>84627.068824460483</v>
      </c>
      <c r="AF129" s="129">
        <f t="shared" si="97"/>
        <v>132851.12964946052</v>
      </c>
      <c r="AG129" s="129">
        <f t="shared" si="98"/>
        <v>-4.197210405136758</v>
      </c>
      <c r="AH129" s="132">
        <f t="shared" si="99"/>
        <v>-1.9231369988467171</v>
      </c>
    </row>
    <row r="130" spans="1:34">
      <c r="A130" s="125">
        <v>130</v>
      </c>
      <c r="B130" s="126"/>
      <c r="C130" s="129">
        <f>EDisponible!P42</f>
        <v>326304.92379693151</v>
      </c>
      <c r="D130" s="129">
        <f t="shared" si="76"/>
        <v>83691.239937900871</v>
      </c>
      <c r="E130" s="129">
        <f t="shared" si="77"/>
        <v>21.960670406784434</v>
      </c>
      <c r="F130" s="132">
        <f t="shared" si="78"/>
        <v>9.5883519268652879</v>
      </c>
      <c r="G130" s="129">
        <f>EDisponible!V42</f>
        <v>292109.14140531869</v>
      </c>
      <c r="H130" s="129">
        <f t="shared" si="79"/>
        <v>82497.733152227607</v>
      </c>
      <c r="I130" s="129">
        <f t="shared" si="80"/>
        <v>18.973402393999901</v>
      </c>
      <c r="J130" s="132">
        <f t="shared" si="81"/>
        <v>8.3036480456727428</v>
      </c>
      <c r="K130" s="129">
        <f>EDisponible!AB42</f>
        <v>242187.48322394607</v>
      </c>
      <c r="L130" s="129">
        <f t="shared" si="82"/>
        <v>83127.30967707232</v>
      </c>
      <c r="M130" s="129">
        <f t="shared" si="83"/>
        <v>14.397654701696274</v>
      </c>
      <c r="N130" s="132">
        <f t="shared" si="84"/>
        <v>6.3198204694696916</v>
      </c>
      <c r="O130" s="129">
        <f>EDisponible!AH42</f>
        <v>199429.08490379006</v>
      </c>
      <c r="P130" s="129">
        <f t="shared" si="85"/>
        <v>85800.938113077063</v>
      </c>
      <c r="Q130" s="129">
        <f t="shared" si="86"/>
        <v>10.285282515451511</v>
      </c>
      <c r="R130" s="132">
        <f t="shared" si="87"/>
        <v>4.5236790629692232</v>
      </c>
      <c r="S130" s="129">
        <f>EDisponible!AN42</f>
        <v>163016.28936169163</v>
      </c>
      <c r="T130" s="129">
        <f t="shared" si="88"/>
        <v>90825.463221692917</v>
      </c>
      <c r="U130" s="129">
        <f t="shared" si="89"/>
        <v>6.5344992666413395</v>
      </c>
      <c r="V130" s="132">
        <f t="shared" si="90"/>
        <v>2.8775722022575145</v>
      </c>
      <c r="W130" s="129">
        <f>EDisponible!AT42</f>
        <v>132199.01071500129</v>
      </c>
      <c r="X130" s="129">
        <f t="shared" si="91"/>
        <v>98623.457793477559</v>
      </c>
      <c r="Y130" s="129">
        <f t="shared" si="92"/>
        <v>3.0391593734818318</v>
      </c>
      <c r="Z130" s="132">
        <f t="shared" si="93"/>
        <v>1.339225328499309</v>
      </c>
      <c r="AA130" s="129">
        <f>EDisponible!AZ42</f>
        <v>106291.44439242585</v>
      </c>
      <c r="AB130" s="129">
        <f t="shared" si="94"/>
        <v>109775.60723882396</v>
      </c>
      <c r="AC130" s="129">
        <f t="shared" si="95"/>
        <v>-0.31537607729402029</v>
      </c>
      <c r="AD130" s="132">
        <f t="shared" si="96"/>
        <v>-0.13899755953627002</v>
      </c>
      <c r="AE130" s="129">
        <f>EDisponible!BF42</f>
        <v>84668.816313572737</v>
      </c>
      <c r="AF130" s="129">
        <f t="shared" si="97"/>
        <v>125081.72594837435</v>
      </c>
      <c r="AG130" s="129">
        <f t="shared" si="98"/>
        <v>-3.6580566048562835</v>
      </c>
      <c r="AH130" s="132">
        <f t="shared" si="99"/>
        <v>-1.6118147154734666</v>
      </c>
    </row>
    <row r="131" spans="1:34">
      <c r="A131" s="125">
        <v>135</v>
      </c>
      <c r="B131" s="126"/>
      <c r="C131" s="129">
        <f>EDisponible!P43</f>
        <v>324258.64276581822</v>
      </c>
      <c r="D131" s="129">
        <f t="shared" si="76"/>
        <v>85005.585743036834</v>
      </c>
      <c r="E131" s="129">
        <f t="shared" si="77"/>
        <v>22.489417844013328</v>
      </c>
      <c r="F131" s="132">
        <f t="shared" si="78"/>
        <v>9.4579523299561998</v>
      </c>
      <c r="G131" s="129">
        <f>EDisponible!V43</f>
        <v>292004.32372599276</v>
      </c>
      <c r="H131" s="129">
        <f t="shared" si="79"/>
        <v>82891.592615679067</v>
      </c>
      <c r="I131" s="129">
        <f t="shared" si="80"/>
        <v>19.656273758687444</v>
      </c>
      <c r="J131" s="132">
        <f t="shared" si="81"/>
        <v>8.2841676962528012</v>
      </c>
      <c r="K131" s="129">
        <f>EDisponible!AB43</f>
        <v>242142.52174157125</v>
      </c>
      <c r="L131" s="129">
        <f t="shared" si="82"/>
        <v>82576.563768390508</v>
      </c>
      <c r="M131" s="129">
        <f t="shared" si="83"/>
        <v>14.998953606671929</v>
      </c>
      <c r="N131" s="132">
        <f t="shared" si="84"/>
        <v>6.3397530583068935</v>
      </c>
      <c r="O131" s="129">
        <f>EDisponible!AH43</f>
        <v>199429.50744342734</v>
      </c>
      <c r="P131" s="129">
        <f t="shared" si="85"/>
        <v>84257.035615781249</v>
      </c>
      <c r="Q131" s="129">
        <f t="shared" si="86"/>
        <v>10.826034472834987</v>
      </c>
      <c r="R131" s="132">
        <f t="shared" si="87"/>
        <v>4.5849001986231519</v>
      </c>
      <c r="S131" s="129">
        <f>EDisponible!AN43</f>
        <v>163049.90606369174</v>
      </c>
      <c r="T131" s="129">
        <f t="shared" si="88"/>
        <v>88209.549769344725</v>
      </c>
      <c r="U131" s="129">
        <f t="shared" si="89"/>
        <v>7.0348779039347384</v>
      </c>
      <c r="V131" s="132">
        <f t="shared" si="90"/>
        <v>2.982996782603768</v>
      </c>
      <c r="W131" s="129">
        <f>EDisponible!AT43</f>
        <v>132255.6816189489</v>
      </c>
      <c r="X131" s="129">
        <f t="shared" si="91"/>
        <v>94818.33110028923</v>
      </c>
      <c r="Y131" s="129">
        <f t="shared" si="92"/>
        <v>3.5190531283650746</v>
      </c>
      <c r="Z131" s="132">
        <f t="shared" si="93"/>
        <v>1.4931943912502634</v>
      </c>
      <c r="AA131" s="129">
        <f>EDisponible!AZ43</f>
        <v>106362.85931044674</v>
      </c>
      <c r="AB131" s="129">
        <f t="shared" si="94"/>
        <v>104614.58726706484</v>
      </c>
      <c r="AC131" s="129">
        <f t="shared" si="95"/>
        <v>0.1643348719463964</v>
      </c>
      <c r="AD131" s="132">
        <f t="shared" si="96"/>
        <v>6.9745851397074607E-2</v>
      </c>
      <c r="AE131" s="129">
        <f>EDisponible!BF43</f>
        <v>84748.286939623998</v>
      </c>
      <c r="AF131" s="129">
        <f t="shared" si="97"/>
        <v>118333.0853329809</v>
      </c>
      <c r="AG131" s="129">
        <f t="shared" si="98"/>
        <v>-3.1569191786888302</v>
      </c>
      <c r="AH131" s="132">
        <f t="shared" si="99"/>
        <v>-1.3395939675192461</v>
      </c>
    </row>
    <row r="132" spans="1:34">
      <c r="A132" s="125">
        <v>140</v>
      </c>
      <c r="B132" s="126"/>
      <c r="C132" s="129">
        <f>EDisponible!P44</f>
        <v>322258.55059830536</v>
      </c>
      <c r="D132" s="129">
        <f t="shared" si="76"/>
        <v>86730.43730248588</v>
      </c>
      <c r="E132" s="129">
        <f t="shared" si="77"/>
        <v>22.959252178795236</v>
      </c>
      <c r="F132" s="132">
        <f t="shared" si="78"/>
        <v>9.3133008749831721</v>
      </c>
      <c r="G132" s="129">
        <f>EDisponible!V44</f>
        <v>291595.62480559025</v>
      </c>
      <c r="H132" s="129">
        <f t="shared" si="79"/>
        <v>83718.097902661932</v>
      </c>
      <c r="I132" s="129">
        <f t="shared" si="80"/>
        <v>20.263876340206455</v>
      </c>
      <c r="J132" s="132">
        <f t="shared" si="81"/>
        <v>8.2359073186791587</v>
      </c>
      <c r="K132" s="129">
        <f>EDisponible!AB44</f>
        <v>242189.03249833838</v>
      </c>
      <c r="L132" s="129">
        <f t="shared" si="82"/>
        <v>82491.183582775266</v>
      </c>
      <c r="M132" s="129">
        <f t="shared" si="83"/>
        <v>15.567327120132092</v>
      </c>
      <c r="N132" s="132">
        <f t="shared" si="84"/>
        <v>6.3449505293731523</v>
      </c>
      <c r="O132" s="129">
        <f>EDisponible!AH44</f>
        <v>199507.27437404735</v>
      </c>
      <c r="P132" s="129">
        <f t="shared" si="85"/>
        <v>83223.748642263527</v>
      </c>
      <c r="Q132" s="129">
        <f t="shared" si="86"/>
        <v>11.335304113620804</v>
      </c>
      <c r="R132" s="132">
        <f t="shared" si="87"/>
        <v>4.6289388384705195</v>
      </c>
      <c r="S132" s="129">
        <f>EDisponible!AN44</f>
        <v>163148.52189079809</v>
      </c>
      <c r="T132" s="129">
        <f t="shared" si="88"/>
        <v>86164.626966495096</v>
      </c>
      <c r="U132" s="129">
        <f t="shared" si="89"/>
        <v>7.5043808254558755</v>
      </c>
      <c r="V132" s="132">
        <f t="shared" si="90"/>
        <v>3.0682732446968637</v>
      </c>
      <c r="W132" s="129">
        <f>EDisponible!AT44</f>
        <v>132366.61784009167</v>
      </c>
      <c r="X132" s="129">
        <f t="shared" si="91"/>
        <v>91663.164746660448</v>
      </c>
      <c r="Y132" s="129">
        <f t="shared" si="92"/>
        <v>3.9677677158909148</v>
      </c>
      <c r="Z132" s="132">
        <f t="shared" si="93"/>
        <v>1.6233964730558037</v>
      </c>
      <c r="AA132" s="129">
        <f>EDisponible!AZ44</f>
        <v>106479.25698566524</v>
      </c>
      <c r="AB132" s="129">
        <f t="shared" si="94"/>
        <v>100205.75927955085</v>
      </c>
      <c r="AC132" s="129">
        <f t="shared" si="95"/>
        <v>0.61153980245605855</v>
      </c>
      <c r="AD132" s="132">
        <f t="shared" si="96"/>
        <v>0.25027447738593295</v>
      </c>
      <c r="AE132" s="129">
        <f>EDisponible!BF44</f>
        <v>84864.759392703956</v>
      </c>
      <c r="AF132" s="129">
        <f t="shared" si="97"/>
        <v>112468.46270601384</v>
      </c>
      <c r="AG132" s="129">
        <f t="shared" si="98"/>
        <v>-2.6908056816255073</v>
      </c>
      <c r="AH132" s="132">
        <f t="shared" si="99"/>
        <v>-1.1010916360930061</v>
      </c>
    </row>
    <row r="133" spans="1:34">
      <c r="A133" s="125">
        <v>145</v>
      </c>
      <c r="B133" s="126"/>
      <c r="C133" s="129">
        <f>EDisponible!P45</f>
        <v>320300.00825106644</v>
      </c>
      <c r="D133" s="129">
        <f t="shared" si="76"/>
        <v>88829.794432795985</v>
      </c>
      <c r="E133" s="129">
        <f t="shared" si="77"/>
        <v>23.369534647729203</v>
      </c>
      <c r="F133" s="132">
        <f t="shared" si="78"/>
        <v>9.155583312493432</v>
      </c>
      <c r="G133" s="129">
        <f>EDisponible!V45</f>
        <v>290027.42136903282</v>
      </c>
      <c r="H133" s="129">
        <f t="shared" si="79"/>
        <v>84935.57556652365</v>
      </c>
      <c r="I133" s="129">
        <f t="shared" si="80"/>
        <v>20.706340212790522</v>
      </c>
      <c r="J133" s="132">
        <f t="shared" si="81"/>
        <v>8.1270255110531284</v>
      </c>
      <c r="K133" s="129">
        <f>EDisponible!AB45</f>
        <v>242325.14755887157</v>
      </c>
      <c r="L133" s="129">
        <f t="shared" si="82"/>
        <v>82822.67629639298</v>
      </c>
      <c r="M133" s="129">
        <f t="shared" si="83"/>
        <v>16.103577506060546</v>
      </c>
      <c r="N133" s="132">
        <f t="shared" si="84"/>
        <v>6.3372511786236068</v>
      </c>
      <c r="O133" s="129">
        <f>EDisponible!AH45</f>
        <v>199660.84998639708</v>
      </c>
      <c r="P133" s="129">
        <f t="shared" si="85"/>
        <v>82644.332394465018</v>
      </c>
      <c r="Q133" s="129">
        <f t="shared" si="86"/>
        <v>11.814140217489273</v>
      </c>
      <c r="R133" s="132">
        <f t="shared" si="87"/>
        <v>4.657989305056387</v>
      </c>
      <c r="S133" s="129">
        <f>EDisponible!AN45</f>
        <v>163310.88541590347</v>
      </c>
      <c r="T133" s="129">
        <f t="shared" si="88"/>
        <v>84623.892488486279</v>
      </c>
      <c r="U133" s="129">
        <f t="shared" si="89"/>
        <v>7.9443414217719619</v>
      </c>
      <c r="V133" s="132">
        <f t="shared" si="90"/>
        <v>3.1360179636567413</v>
      </c>
      <c r="W133" s="129">
        <f>EDisponible!AT45</f>
        <v>132530.80954170923</v>
      </c>
      <c r="X133" s="129">
        <f t="shared" si="91"/>
        <v>89078.802930014717</v>
      </c>
      <c r="Y133" s="129">
        <f t="shared" si="92"/>
        <v>4.3869712533405947</v>
      </c>
      <c r="Z133" s="132">
        <f t="shared" si="93"/>
        <v>1.7329536968764419</v>
      </c>
      <c r="AA133" s="129">
        <f>EDisponible!AZ45</f>
        <v>106639.83134660976</v>
      </c>
      <c r="AB133" s="129">
        <f t="shared" si="94"/>
        <v>96454.666237250087</v>
      </c>
      <c r="AC133" s="129">
        <f t="shared" si="95"/>
        <v>1.0283075519293268</v>
      </c>
      <c r="AD133" s="132">
        <f t="shared" si="96"/>
        <v>0.40632203500287495</v>
      </c>
      <c r="AE133" s="129">
        <f>EDisponible!BF45</f>
        <v>85017.598036398427</v>
      </c>
      <c r="AF133" s="129">
        <f t="shared" si="97"/>
        <v>107374.27553710196</v>
      </c>
      <c r="AG133" s="129">
        <f t="shared" si="98"/>
        <v>-2.2571593158461059</v>
      </c>
      <c r="AH133" s="132">
        <f t="shared" si="99"/>
        <v>-0.89182936522199363</v>
      </c>
    </row>
    <row r="134" spans="1:34">
      <c r="A134" s="125">
        <v>150</v>
      </c>
      <c r="B134" s="126"/>
      <c r="C134" s="129">
        <f>EDisponible!P46</f>
        <v>318378.52239014959</v>
      </c>
      <c r="D134" s="129">
        <f t="shared" si="76"/>
        <v>91273.555160463133</v>
      </c>
      <c r="E134" s="129">
        <f t="shared" si="77"/>
        <v>23.719462406298053</v>
      </c>
      <c r="F134" s="132">
        <f t="shared" si="78"/>
        <v>8.9857638327926281</v>
      </c>
      <c r="G134" s="129">
        <f>EDisponible!V46</f>
        <v>288499.48121639621</v>
      </c>
      <c r="H134" s="129">
        <f t="shared" si="79"/>
        <v>86509.17986853006</v>
      </c>
      <c r="I134" s="129">
        <f t="shared" si="80"/>
        <v>21.096418179228831</v>
      </c>
      <c r="J134" s="132">
        <f t="shared" si="81"/>
        <v>8.0057282605941289</v>
      </c>
      <c r="K134" s="129">
        <f>EDisponible!AB46</f>
        <v>242549.19647972318</v>
      </c>
      <c r="L134" s="129">
        <f t="shared" si="82"/>
        <v>83530.494068699583</v>
      </c>
      <c r="M134" s="129">
        <f t="shared" si="83"/>
        <v>16.608347143380001</v>
      </c>
      <c r="N134" s="132">
        <f t="shared" si="84"/>
        <v>6.318186054585091</v>
      </c>
      <c r="O134" s="129">
        <f>EDisponible!AH46</f>
        <v>199888.86449374186</v>
      </c>
      <c r="P134" s="129">
        <f t="shared" si="85"/>
        <v>82471.339047295391</v>
      </c>
      <c r="Q134" s="129">
        <f t="shared" si="86"/>
        <v>12.263406717347548</v>
      </c>
      <c r="R134" s="132">
        <f t="shared" si="87"/>
        <v>4.6738813253158487</v>
      </c>
      <c r="S134" s="129">
        <f>EDisponible!AN46</f>
        <v>163535.88374363829</v>
      </c>
      <c r="T134" s="129">
        <f t="shared" si="88"/>
        <v>83531.488791994139</v>
      </c>
      <c r="U134" s="129">
        <f t="shared" si="89"/>
        <v>8.3558772912039085</v>
      </c>
      <c r="V134" s="132">
        <f t="shared" si="90"/>
        <v>3.188414710069698</v>
      </c>
      <c r="W134" s="129">
        <f>EDisponible!AT46</f>
        <v>132747.36177613662</v>
      </c>
      <c r="X134" s="129">
        <f t="shared" si="91"/>
        <v>86999.058602305013</v>
      </c>
      <c r="Y134" s="129">
        <f t="shared" si="92"/>
        <v>4.7780776022664666</v>
      </c>
      <c r="Z134" s="132">
        <f t="shared" si="93"/>
        <v>1.8244742937436829</v>
      </c>
      <c r="AA134" s="129">
        <f>EDisponible!AZ46</f>
        <v>106843.87091657701</v>
      </c>
      <c r="AB134" s="129">
        <f t="shared" si="94"/>
        <v>93282.326784692894</v>
      </c>
      <c r="AC134" s="129">
        <f t="shared" si="95"/>
        <v>1.4164046701904514</v>
      </c>
      <c r="AD134" s="132">
        <f t="shared" si="96"/>
        <v>0.54101065195690201</v>
      </c>
      <c r="AE134" s="129">
        <f>EDisponible!BF46</f>
        <v>85206.244513121346</v>
      </c>
      <c r="AF134" s="129">
        <f t="shared" si="97"/>
        <v>102955.55046800397</v>
      </c>
      <c r="AG134" s="129">
        <f t="shared" si="98"/>
        <v>-1.853785940793321</v>
      </c>
      <c r="AH134" s="132">
        <f t="shared" si="99"/>
        <v>-0.70805802340096369</v>
      </c>
    </row>
    <row r="135" spans="1:34">
      <c r="A135" s="125">
        <v>155</v>
      </c>
      <c r="B135" s="126"/>
      <c r="C135" s="129">
        <f>EDisponible!P47</f>
        <v>316489.71720728913</v>
      </c>
      <c r="D135" s="129">
        <f t="shared" si="76"/>
        <v>94036.392984819002</v>
      </c>
      <c r="E135" s="129">
        <f t="shared" si="77"/>
        <v>24.008086523143326</v>
      </c>
      <c r="F135" s="132">
        <f t="shared" si="78"/>
        <v>8.8046274971717526</v>
      </c>
      <c r="G135" s="129">
        <f>EDisponible!V47</f>
        <v>287008.0270815554</v>
      </c>
      <c r="H135" s="129">
        <f t="shared" si="79"/>
        <v>88409.593108789282</v>
      </c>
      <c r="I135" s="129">
        <f t="shared" si="80"/>
        <v>21.43356770614319</v>
      </c>
      <c r="J135" s="132">
        <f t="shared" si="81"/>
        <v>7.872994167018704</v>
      </c>
      <c r="K135" s="129">
        <f>EDisponible!AB47</f>
        <v>242859.68709754501</v>
      </c>
      <c r="L135" s="129">
        <f t="shared" si="82"/>
        <v>84580.52169756376</v>
      </c>
      <c r="M135" s="129">
        <f t="shared" si="83"/>
        <v>17.082144809548435</v>
      </c>
      <c r="N135" s="132">
        <f t="shared" si="84"/>
        <v>6.2890385024277897</v>
      </c>
      <c r="O135" s="129">
        <f>EDisponible!AH47</f>
        <v>200190.09800967755</v>
      </c>
      <c r="P135" s="129">
        <f t="shared" si="85"/>
        <v>82664.848049575245</v>
      </c>
      <c r="Q135" s="129">
        <f t="shared" si="86"/>
        <v>12.683813018116167</v>
      </c>
      <c r="R135" s="132">
        <f t="shared" si="87"/>
        <v>4.6781503462996179</v>
      </c>
      <c r="S135" s="129">
        <f>EDisponible!AN47</f>
        <v>163822.52923902863</v>
      </c>
      <c r="T135" s="129">
        <f t="shared" si="88"/>
        <v>82840.419752058719</v>
      </c>
      <c r="U135" s="129">
        <f t="shared" si="89"/>
        <v>8.7399255470125841</v>
      </c>
      <c r="V135" s="132">
        <f t="shared" si="90"/>
        <v>3.227297693292055</v>
      </c>
      <c r="W135" s="129">
        <f>EDisponible!AT47</f>
        <v>133015.48357244002</v>
      </c>
      <c r="X135" s="129">
        <f t="shared" si="91"/>
        <v>85368.244839337523</v>
      </c>
      <c r="Y135" s="129">
        <f t="shared" si="92"/>
        <v>5.1422878668658836</v>
      </c>
      <c r="Z135" s="132">
        <f t="shared" si="93"/>
        <v>1.9001507597478873</v>
      </c>
      <c r="AA135" s="129">
        <f>EDisponible!AZ47</f>
        <v>107090.7499119729</v>
      </c>
      <c r="AB135" s="129">
        <f t="shared" si="94"/>
        <v>90622.289419892943</v>
      </c>
      <c r="AC135" s="129">
        <f t="shared" si="95"/>
        <v>1.7773446442248584</v>
      </c>
      <c r="AD135" s="132">
        <f t="shared" si="96"/>
        <v>0.65696699315289464</v>
      </c>
      <c r="AE135" s="129">
        <f>EDisponible!BF47</f>
        <v>85430.210544902046</v>
      </c>
      <c r="AF135" s="129">
        <f t="shared" si="97"/>
        <v>99132.381016154482</v>
      </c>
      <c r="AG135" s="129">
        <f t="shared" si="98"/>
        <v>-1.4787951377148238</v>
      </c>
      <c r="AH135" s="132">
        <f t="shared" si="99"/>
        <v>-0.54662031956787538</v>
      </c>
    </row>
    <row r="136" spans="1:34">
      <c r="A136" s="125">
        <v>160</v>
      </c>
      <c r="B136" s="126"/>
      <c r="C136" s="129">
        <f>EDisponible!P48</f>
        <v>314629.30978701601</v>
      </c>
      <c r="D136" s="129">
        <f t="shared" si="76"/>
        <v>97096.875789678117</v>
      </c>
      <c r="E136" s="129">
        <f t="shared" si="77"/>
        <v>24.23432631252885</v>
      </c>
      <c r="F136" s="132">
        <f t="shared" si="78"/>
        <v>8.6128133829722024</v>
      </c>
      <c r="G136" s="129">
        <f>EDisponible!V48</f>
        <v>285549.36494093604</v>
      </c>
      <c r="H136" s="129">
        <f t="shared" si="79"/>
        <v>90612.005687325422</v>
      </c>
      <c r="I136" s="129">
        <f t="shared" si="80"/>
        <v>21.717108974712609</v>
      </c>
      <c r="J136" s="132">
        <f t="shared" si="81"/>
        <v>7.7296297149787963</v>
      </c>
      <c r="K136" s="129">
        <f>EDisponible!AB48</f>
        <v>243255.28898137427</v>
      </c>
      <c r="L136" s="129">
        <f t="shared" si="82"/>
        <v>85943.889779140751</v>
      </c>
      <c r="M136" s="129">
        <f t="shared" si="83"/>
        <v>17.525367187286069</v>
      </c>
      <c r="N136" s="132">
        <f t="shared" si="84"/>
        <v>6.250890762618825</v>
      </c>
      <c r="O136" s="129">
        <f>EDisponible!AH48</f>
        <v>200563.46674410003</v>
      </c>
      <c r="P136" s="129">
        <f t="shared" si="85"/>
        <v>83191.077320540091</v>
      </c>
      <c r="Q136" s="129">
        <f t="shared" si="86"/>
        <v>13.075938760500293</v>
      </c>
      <c r="R136" s="132">
        <f t="shared" si="87"/>
        <v>4.6720926117895898</v>
      </c>
      <c r="S136" s="129">
        <f>EDisponible!AN48</f>
        <v>164169.948090199</v>
      </c>
      <c r="T136" s="129">
        <f t="shared" si="88"/>
        <v>82510.915705133011</v>
      </c>
      <c r="U136" s="129">
        <f t="shared" si="89"/>
        <v>9.0972716151802366</v>
      </c>
      <c r="V136" s="132">
        <f t="shared" si="90"/>
        <v>3.2542166746826791</v>
      </c>
      <c r="W136" s="129">
        <f>EDisponible!AT48</f>
        <v>133334.4785291923</v>
      </c>
      <c r="X136" s="129">
        <f t="shared" si="91"/>
        <v>84139.237537985638</v>
      </c>
      <c r="Y136" s="129">
        <f t="shared" si="92"/>
        <v>5.4806242053035072</v>
      </c>
      <c r="Z136" s="132">
        <f t="shared" si="93"/>
        <v>1.9618369214347366</v>
      </c>
      <c r="AA136" s="129">
        <f>EDisponible!AZ48</f>
        <v>107379.92056580658</v>
      </c>
      <c r="AB136" s="129">
        <f t="shared" si="94"/>
        <v>88418.320700657903</v>
      </c>
      <c r="AC136" s="129">
        <f t="shared" si="95"/>
        <v>2.1124279726729833</v>
      </c>
      <c r="AD136" s="132">
        <f t="shared" si="96"/>
        <v>0.75641359773146599</v>
      </c>
      <c r="AE136" s="129">
        <f>EDisponible!BF48</f>
        <v>85689.071722674431</v>
      </c>
      <c r="AF136" s="129">
        <f t="shared" si="97"/>
        <v>95837.14769314749</v>
      </c>
      <c r="AG136" s="129">
        <f t="shared" si="98"/>
        <v>-1.1305522583165077</v>
      </c>
      <c r="AH136" s="132">
        <f t="shared" si="99"/>
        <v>-0.4048424682289341</v>
      </c>
    </row>
    <row r="137" spans="1:34">
      <c r="A137" s="125">
        <v>165</v>
      </c>
      <c r="B137" s="126"/>
      <c r="C137" s="129">
        <f>EDisponible!P49</f>
        <v>312793.08839496173</v>
      </c>
      <c r="D137" s="129">
        <f t="shared" si="76"/>
        <v>100436.76874054312</v>
      </c>
      <c r="E137" s="129">
        <f t="shared" si="77"/>
        <v>24.396980754971416</v>
      </c>
      <c r="F137" s="132">
        <f t="shared" si="78"/>
        <v>8.4108406864217713</v>
      </c>
      <c r="G137" s="129">
        <f>EDisponible!V49</f>
        <v>284119.86536267243</v>
      </c>
      <c r="H137" s="129">
        <f t="shared" si="79"/>
        <v>93095.309144964762</v>
      </c>
      <c r="I137" s="129">
        <f t="shared" si="80"/>
        <v>21.946238423017409</v>
      </c>
      <c r="J137" s="132">
        <f t="shared" si="81"/>
        <v>7.5763001202145599</v>
      </c>
      <c r="K137" s="129">
        <f>EDisponible!AB49</f>
        <v>243734.81910126211</v>
      </c>
      <c r="L137" s="129">
        <f t="shared" si="82"/>
        <v>87596.035699240223</v>
      </c>
      <c r="M137" s="129">
        <f t="shared" si="83"/>
        <v>17.938316599020581</v>
      </c>
      <c r="N137" s="132">
        <f t="shared" si="84"/>
        <v>6.2046607375849225</v>
      </c>
      <c r="O137" s="129">
        <f>EDisponible!AH49</f>
        <v>201008.01104473195</v>
      </c>
      <c r="P137" s="129">
        <f t="shared" si="85"/>
        <v>84021.284451069441</v>
      </c>
      <c r="Q137" s="129">
        <f t="shared" si="86"/>
        <v>13.440254200757426</v>
      </c>
      <c r="R137" s="132">
        <f t="shared" si="87"/>
        <v>4.6568086532332087</v>
      </c>
      <c r="S137" s="129">
        <f>EDisponible!AN49</f>
        <v>164577.3703972279</v>
      </c>
      <c r="T137" s="129">
        <f t="shared" si="88"/>
        <v>82509.139897696106</v>
      </c>
      <c r="U137" s="129">
        <f t="shared" si="89"/>
        <v>9.4285728974300103</v>
      </c>
      <c r="V137" s="132">
        <f t="shared" si="90"/>
        <v>3.2704884315804477</v>
      </c>
      <c r="W137" s="129">
        <f>EDisponible!AT49</f>
        <v>133703.73665983928</v>
      </c>
      <c r="X137" s="129">
        <f t="shared" si="91"/>
        <v>83271.942653689504</v>
      </c>
      <c r="Y137" s="129">
        <f t="shared" si="92"/>
        <v>5.7939575794542053</v>
      </c>
      <c r="Z137" s="132">
        <f t="shared" si="93"/>
        <v>2.0111089168127787</v>
      </c>
      <c r="AA137" s="129">
        <f>EDisponible!AZ49</f>
        <v>107710.90647092408</v>
      </c>
      <c r="AB137" s="129">
        <f t="shared" si="94"/>
        <v>86622.576190968408</v>
      </c>
      <c r="AC137" s="129">
        <f t="shared" si="95"/>
        <v>2.4227750265771477</v>
      </c>
      <c r="AD137" s="132">
        <f t="shared" si="96"/>
        <v>0.84124126453448833</v>
      </c>
      <c r="AE137" s="129">
        <f>EDisponible!BF49</f>
        <v>85982.462118444513</v>
      </c>
      <c r="AF137" s="129">
        <f t="shared" si="97"/>
        <v>93012.318607628345</v>
      </c>
      <c r="AG137" s="129">
        <f t="shared" si="98"/>
        <v>-0.80763913104132667</v>
      </c>
      <c r="AH137" s="132">
        <f t="shared" si="99"/>
        <v>-0.28044814559449821</v>
      </c>
    </row>
    <row r="138" spans="1:34">
      <c r="A138" s="125">
        <v>170</v>
      </c>
      <c r="B138" s="126"/>
      <c r="C138" s="129">
        <f>EDisponible!P50</f>
        <v>310976.89318043471</v>
      </c>
      <c r="D138" s="129">
        <f t="shared" si="76"/>
        <v>104040.47853456861</v>
      </c>
      <c r="E138" s="129">
        <f t="shared" si="77"/>
        <v>24.494737579879441</v>
      </c>
      <c r="F138" s="132">
        <f t="shared" si="78"/>
        <v>8.1991294358517681</v>
      </c>
      <c r="G138" s="129">
        <f>EDisponible!V50</f>
        <v>282715.94689293788</v>
      </c>
      <c r="H138" s="129">
        <f t="shared" si="79"/>
        <v>95841.452832739596</v>
      </c>
      <c r="I138" s="129">
        <f t="shared" si="80"/>
        <v>22.120039627683472</v>
      </c>
      <c r="J138" s="132">
        <f t="shared" si="81"/>
        <v>7.4135538179523781</v>
      </c>
      <c r="K138" s="129">
        <f>EDisponible!AB50</f>
        <v>244297.22935235463</v>
      </c>
      <c r="L138" s="129">
        <f t="shared" si="82"/>
        <v>89515.955029124307</v>
      </c>
      <c r="M138" s="129">
        <f t="shared" si="83"/>
        <v>18.321215738249947</v>
      </c>
      <c r="N138" s="132">
        <f t="shared" si="84"/>
        <v>6.1511312230233735</v>
      </c>
      <c r="O138" s="129">
        <f>EDisponible!AH50</f>
        <v>201522.88498386682</v>
      </c>
      <c r="P138" s="129">
        <f t="shared" si="85"/>
        <v>85130.89071027402</v>
      </c>
      <c r="Q138" s="129">
        <f t="shared" si="86"/>
        <v>13.777137102763852</v>
      </c>
      <c r="R138" s="132">
        <f t="shared" si="87"/>
        <v>4.6332378933496861</v>
      </c>
      <c r="S138" s="129">
        <f>EDisponible!AN50</f>
        <v>165044.12153894731</v>
      </c>
      <c r="T138" s="129">
        <f t="shared" si="88"/>
        <v>82806.157230554585</v>
      </c>
      <c r="U138" s="129">
        <f t="shared" si="89"/>
        <v>9.7343783513638478</v>
      </c>
      <c r="V138" s="132">
        <f t="shared" si="90"/>
        <v>3.2772377391372274</v>
      </c>
      <c r="W138" s="129">
        <f>EDisponible!AT50</f>
        <v>134122.7272870618</v>
      </c>
      <c r="X138" s="129">
        <f t="shared" si="91"/>
        <v>82732.074238901361</v>
      </c>
      <c r="Y138" s="129">
        <f t="shared" si="92"/>
        <v>6.0830306866364188</v>
      </c>
      <c r="Z138" s="132">
        <f t="shared" si="93"/>
        <v>2.0493138053550046</v>
      </c>
      <c r="AA138" s="129">
        <f>EDisponible!AZ50</f>
        <v>108083.29677733926</v>
      </c>
      <c r="AB138" s="129">
        <f t="shared" si="94"/>
        <v>85194.142287773822</v>
      </c>
      <c r="AC138" s="129">
        <f t="shared" si="95"/>
        <v>2.709353177915538</v>
      </c>
      <c r="AD138" s="132">
        <f t="shared" si="96"/>
        <v>0.91306683017237356</v>
      </c>
      <c r="AE138" s="129">
        <f>EDisponible!BF50</f>
        <v>86310.0695867498</v>
      </c>
      <c r="AF138" s="129">
        <f t="shared" si="97"/>
        <v>90608.696043802454</v>
      </c>
      <c r="AG138" s="129">
        <f t="shared" si="98"/>
        <v>-0.50882164552634523</v>
      </c>
      <c r="AH138" s="132">
        <f t="shared" si="99"/>
        <v>-0.17148968092774278</v>
      </c>
    </row>
    <row r="139" spans="1:34">
      <c r="A139" s="125">
        <v>175</v>
      </c>
      <c r="B139" s="126"/>
      <c r="C139" s="129">
        <f>EDisponible!P51</f>
        <v>309176.59888214694</v>
      </c>
      <c r="D139" s="129">
        <f t="shared" si="76"/>
        <v>107894.60717057735</v>
      </c>
      <c r="E139" s="129">
        <f t="shared" si="77"/>
        <v>24.526180452988221</v>
      </c>
      <c r="F139" s="132">
        <f t="shared" si="78"/>
        <v>7.9780170447647452</v>
      </c>
      <c r="G139" s="129">
        <f>EDisponible!V51</f>
        <v>281334.0611324808</v>
      </c>
      <c r="H139" s="129">
        <f t="shared" si="79"/>
        <v>98834.92736059225</v>
      </c>
      <c r="I139" s="129">
        <f t="shared" si="80"/>
        <v>22.237492034644333</v>
      </c>
      <c r="J139" s="132">
        <f t="shared" si="81"/>
        <v>7.2418420409587547</v>
      </c>
      <c r="K139" s="129">
        <f>EDisponible!AB51</f>
        <v>244941.59564145177</v>
      </c>
      <c r="L139" s="129">
        <f t="shared" si="82"/>
        <v>91685.600446571159</v>
      </c>
      <c r="M139" s="129">
        <f t="shared" si="83"/>
        <v>18.674219992010762</v>
      </c>
      <c r="N139" s="132">
        <f t="shared" si="84"/>
        <v>6.0909733148051615</v>
      </c>
      <c r="O139" s="129">
        <f>EDisponible!AH51</f>
        <v>202107.34724648451</v>
      </c>
      <c r="P139" s="129">
        <f t="shared" si="85"/>
        <v>86498.777681571199</v>
      </c>
      <c r="Q139" s="129">
        <f t="shared" si="86"/>
        <v>14.086886834486375</v>
      </c>
      <c r="R139" s="132">
        <f t="shared" si="87"/>
        <v>4.6021863748121152</v>
      </c>
      <c r="S139" s="129">
        <f>EDisponible!AN51</f>
        <v>165569.61461612998</v>
      </c>
      <c r="T139" s="129">
        <f t="shared" si="88"/>
        <v>83377.106229721961</v>
      </c>
      <c r="U139" s="129">
        <f t="shared" si="89"/>
        <v>10.015144799726858</v>
      </c>
      <c r="V139" s="132">
        <f t="shared" si="90"/>
        <v>3.2754302354587823</v>
      </c>
      <c r="W139" s="129">
        <f>EDisponible!AT51</f>
        <v>134590.9928207855</v>
      </c>
      <c r="X139" s="129">
        <f t="shared" si="91"/>
        <v>82490.173289960527</v>
      </c>
      <c r="Y139" s="129">
        <f t="shared" si="92"/>
        <v>6.3484770331201812</v>
      </c>
      <c r="Z139" s="132">
        <f t="shared" si="93"/>
        <v>2.077608586099235</v>
      </c>
      <c r="AA139" s="129">
        <f>EDisponible!AZ51</f>
        <v>108496.7411091096</v>
      </c>
      <c r="AB139" s="129">
        <f t="shared" si="94"/>
        <v>84097.865405764649</v>
      </c>
      <c r="AC139" s="129">
        <f t="shared" si="95"/>
        <v>2.9729993391945944</v>
      </c>
      <c r="AD139" s="132">
        <f t="shared" si="96"/>
        <v>0.97327960046220607</v>
      </c>
      <c r="AE139" s="129">
        <f>EDisponible!BF51</f>
        <v>86671.631646880065</v>
      </c>
      <c r="AF139" s="129">
        <f t="shared" si="97"/>
        <v>88584.008581646485</v>
      </c>
      <c r="AG139" s="129">
        <f t="shared" si="98"/>
        <v>-0.23302284221941014</v>
      </c>
      <c r="AH139" s="132">
        <f t="shared" si="99"/>
        <v>-7.6292671420162272E-2</v>
      </c>
    </row>
    <row r="140" spans="1:34">
      <c r="A140" s="125">
        <v>180</v>
      </c>
      <c r="B140" s="126"/>
      <c r="C140" s="129">
        <f>EDisponible!P52</f>
        <v>307388.09920137736</v>
      </c>
      <c r="D140" s="129">
        <f t="shared" si="76"/>
        <v>111987.59124995918</v>
      </c>
      <c r="E140" s="129">
        <f t="shared" si="77"/>
        <v>24.489794612925724</v>
      </c>
      <c r="F140" s="132">
        <f t="shared" si="78"/>
        <v>7.7477716281252329</v>
      </c>
      <c r="G140" s="129">
        <f>EDisponible!V52</f>
        <v>279970.6792199199</v>
      </c>
      <c r="H140" s="129">
        <f t="shared" si="79"/>
        <v>102062.34705575947</v>
      </c>
      <c r="I140" s="129">
        <f t="shared" si="80"/>
        <v>22.297477935480643</v>
      </c>
      <c r="J140" s="132">
        <f t="shared" si="81"/>
        <v>7.0615345745999294</v>
      </c>
      <c r="K140" s="129">
        <f>EDisponible!AB52</f>
        <v>245667.10829658582</v>
      </c>
      <c r="L140" s="129">
        <f t="shared" si="82"/>
        <v>94089.395868406893</v>
      </c>
      <c r="M140" s="129">
        <f t="shared" si="83"/>
        <v>18.997427817261102</v>
      </c>
      <c r="N140" s="132">
        <f t="shared" si="84"/>
        <v>6.0247652779468375</v>
      </c>
      <c r="O140" s="129">
        <f>EDisponible!AH52</f>
        <v>202760.75312040147</v>
      </c>
      <c r="P140" s="129">
        <f t="shared" si="85"/>
        <v>88106.718715647279</v>
      </c>
      <c r="Q140" s="129">
        <f t="shared" si="86"/>
        <v>14.369736207716807</v>
      </c>
      <c r="R140" s="132">
        <f t="shared" si="87"/>
        <v>4.5643491286029745</v>
      </c>
      <c r="S140" s="129">
        <f>EDisponible!AN52</f>
        <v>166153.343806283</v>
      </c>
      <c r="T140" s="129">
        <f t="shared" si="88"/>
        <v>84200.529729316448</v>
      </c>
      <c r="U140" s="129">
        <f t="shared" si="89"/>
        <v>10.271250600818268</v>
      </c>
      <c r="V140" s="132">
        <f t="shared" si="90"/>
        <v>3.265898952623099</v>
      </c>
      <c r="W140" s="129">
        <f>EDisponible!AT52</f>
        <v>135108.14328463087</v>
      </c>
      <c r="X140" s="129">
        <f t="shared" si="91"/>
        <v>82520.814655944545</v>
      </c>
      <c r="Y140" s="129">
        <f t="shared" si="92"/>
        <v>6.5908368962845882</v>
      </c>
      <c r="Z140" s="132">
        <f t="shared" si="93"/>
        <v>2.0969917218022296</v>
      </c>
      <c r="AA140" s="129">
        <f>EDisponible!AZ52</f>
        <v>108950.94509071042</v>
      </c>
      <c r="AB140" s="129">
        <f t="shared" si="94"/>
        <v>83303.405577498153</v>
      </c>
      <c r="AC140" s="129">
        <f t="shared" si="95"/>
        <v>3.2144388036167681</v>
      </c>
      <c r="AD140" s="132">
        <f t="shared" si="96"/>
        <v>1.0230789029807386</v>
      </c>
      <c r="AE140" s="129">
        <f>EDisponible!BF52</f>
        <v>87066.93185707365</v>
      </c>
      <c r="AF140" s="129">
        <f t="shared" si="97"/>
        <v>86901.773071690157</v>
      </c>
      <c r="AG140" s="129">
        <f t="shared" si="98"/>
        <v>2.0699560993811018E-2</v>
      </c>
      <c r="AH140" s="132">
        <f t="shared" si="99"/>
        <v>6.5888748749496932E-3</v>
      </c>
    </row>
    <row r="141" spans="1:34">
      <c r="A141" s="125">
        <v>185</v>
      </c>
      <c r="B141" s="126"/>
      <c r="C141" s="129">
        <f>EDisponible!P53</f>
        <v>305607.29256665095</v>
      </c>
      <c r="D141" s="129">
        <f t="shared" si="76"/>
        <v>116309.40857278957</v>
      </c>
      <c r="E141" s="129">
        <f t="shared" si="77"/>
        <v>24.383971226602316</v>
      </c>
      <c r="F141" s="132">
        <f t="shared" si="78"/>
        <v>7.5086027815565988</v>
      </c>
      <c r="G141" s="129">
        <f>EDisponible!V53</f>
        <v>278622.27948873327</v>
      </c>
      <c r="H141" s="129">
        <f t="shared" si="79"/>
        <v>105512.11032142022</v>
      </c>
      <c r="I141" s="129">
        <f t="shared" si="80"/>
        <v>22.298787999896</v>
      </c>
      <c r="J141" s="132">
        <f t="shared" si="81"/>
        <v>6.8729325130175951</v>
      </c>
      <c r="K141" s="129">
        <f>EDisponible!AB53</f>
        <v>246473.06360264076</v>
      </c>
      <c r="L141" s="129">
        <f t="shared" si="82"/>
        <v>96713.841230777398</v>
      </c>
      <c r="M141" s="129">
        <f t="shared" si="83"/>
        <v>19.290889534466608</v>
      </c>
      <c r="N141" s="132">
        <f t="shared" si="84"/>
        <v>5.9530078534212292</v>
      </c>
      <c r="O141" s="129">
        <f>EDisponible!AH53</f>
        <v>203482.54742446353</v>
      </c>
      <c r="P141" s="129">
        <f t="shared" si="85"/>
        <v>89938.916456592167</v>
      </c>
      <c r="Q141" s="129">
        <f t="shared" si="86"/>
        <v>14.625861483873267</v>
      </c>
      <c r="R141" s="132">
        <f t="shared" si="87"/>
        <v>4.5203283318170762</v>
      </c>
      <c r="S141" s="129">
        <f>EDisponible!AN53</f>
        <v>166794.87849445411</v>
      </c>
      <c r="T141" s="129">
        <f t="shared" si="88"/>
        <v>85257.830428187255</v>
      </c>
      <c r="U141" s="129">
        <f t="shared" si="89"/>
        <v>10.503007175792916</v>
      </c>
      <c r="V141" s="132">
        <f t="shared" si="90"/>
        <v>3.2493658682743933</v>
      </c>
      <c r="W141" s="129">
        <f>EDisponible!AT53</f>
        <v>135673.85147952675</v>
      </c>
      <c r="X141" s="129">
        <f t="shared" si="91"/>
        <v>82801.961913631836</v>
      </c>
      <c r="Y141" s="129">
        <f t="shared" si="92"/>
        <v>6.8105707611221078</v>
      </c>
      <c r="Z141" s="132">
        <f t="shared" si="93"/>
        <v>2.108328765941077</v>
      </c>
      <c r="AA141" s="129">
        <f>EDisponible!AZ53</f>
        <v>109445.66639231968</v>
      </c>
      <c r="AB141" s="129">
        <f t="shared" si="94"/>
        <v>82784.466622269785</v>
      </c>
      <c r="AC141" s="129">
        <f t="shared" si="95"/>
        <v>3.4343010832634278</v>
      </c>
      <c r="AD141" s="132">
        <f t="shared" si="96"/>
        <v>1.0635046430254356</v>
      </c>
      <c r="AE141" s="129">
        <f>EDisponible!BF53</f>
        <v>87495.796607585813</v>
      </c>
      <c r="AF141" s="129">
        <f t="shared" si="97"/>
        <v>85530.368929865479</v>
      </c>
      <c r="AG141" s="129">
        <f t="shared" si="98"/>
        <v>0.25317204255201586</v>
      </c>
      <c r="AH141" s="132">
        <f t="shared" si="99"/>
        <v>7.8409083641075239E-2</v>
      </c>
    </row>
    <row r="142" spans="1:34">
      <c r="A142" s="125">
        <v>190</v>
      </c>
      <c r="B142" s="126"/>
      <c r="C142" s="129">
        <f>EDisponible!P54</f>
        <v>303830.06906174886</v>
      </c>
      <c r="D142" s="129">
        <f t="shared" si="76"/>
        <v>120851.33805366429</v>
      </c>
      <c r="E142" s="129">
        <f t="shared" si="77"/>
        <v>24.207010676042437</v>
      </c>
      <c r="F142" s="132">
        <f t="shared" si="78"/>
        <v>7.2606703580946066</v>
      </c>
      <c r="G142" s="129">
        <f>EDisponible!V54</f>
        <v>277285.33610509167</v>
      </c>
      <c r="H142" s="129">
        <f t="shared" si="79"/>
        <v>109174.12171770459</v>
      </c>
      <c r="I142" s="129">
        <f t="shared" si="80"/>
        <v>22.240125609233441</v>
      </c>
      <c r="J142" s="132">
        <f t="shared" si="81"/>
        <v>6.6762786462389485</v>
      </c>
      <c r="K142" s="129">
        <f>EDisponible!AB54</f>
        <v>247358.85630000907</v>
      </c>
      <c r="L142" s="129">
        <f t="shared" si="82"/>
        <v>99547.189091931155</v>
      </c>
      <c r="M142" s="129">
        <f t="shared" si="83"/>
        <v>19.554614825651424</v>
      </c>
      <c r="N142" s="132">
        <f t="shared" si="84"/>
        <v>5.8761367489982037</v>
      </c>
      <c r="O142" s="129">
        <f>EDisponible!AH54</f>
        <v>204272.25823904554</v>
      </c>
      <c r="P142" s="129">
        <f t="shared" si="85"/>
        <v>91981.624412508711</v>
      </c>
      <c r="Q142" s="129">
        <f t="shared" si="86"/>
        <v>14.855390880038673</v>
      </c>
      <c r="R142" s="132">
        <f t="shared" si="87"/>
        <v>4.4706481348386093</v>
      </c>
      <c r="S142" s="129">
        <f>EDisponible!AN54</f>
        <v>167493.8580678023</v>
      </c>
      <c r="T142" s="129">
        <f t="shared" si="88"/>
        <v>86532.825387174715</v>
      </c>
      <c r="U142" s="129">
        <f t="shared" si="89"/>
        <v>10.710668784541859</v>
      </c>
      <c r="V142" s="132">
        <f t="shared" si="90"/>
        <v>3.2264595155616296</v>
      </c>
      <c r="W142" s="129">
        <f>EDisponible!AT54</f>
        <v>136287.84869234831</v>
      </c>
      <c r="X142" s="129">
        <f t="shared" si="91"/>
        <v>83314.439479780383</v>
      </c>
      <c r="Y142" s="129">
        <f t="shared" si="92"/>
        <v>7.0080706937372934</v>
      </c>
      <c r="Z142" s="132">
        <f t="shared" si="93"/>
        <v>2.112373317400106</v>
      </c>
      <c r="AA142" s="129">
        <f>EDisponible!AZ54</f>
        <v>109980.71121898841</v>
      </c>
      <c r="AB142" s="129">
        <f t="shared" si="94"/>
        <v>82518.166214895668</v>
      </c>
      <c r="AC142" s="129">
        <f t="shared" si="95"/>
        <v>3.6331332961096803</v>
      </c>
      <c r="AD142" s="132">
        <f t="shared" si="96"/>
        <v>1.0954623095044542</v>
      </c>
      <c r="AE142" s="129">
        <f>EDisponible!BF54</f>
        <v>87958.092272066919</v>
      </c>
      <c r="AF142" s="129">
        <f t="shared" si="97"/>
        <v>84442.280658949559</v>
      </c>
      <c r="AG142" s="129">
        <f t="shared" si="98"/>
        <v>0.46512121263932915</v>
      </c>
      <c r="AH142" s="132">
        <f t="shared" si="99"/>
        <v>0.14026015374737349</v>
      </c>
    </row>
    <row r="143" spans="1:34">
      <c r="A143" s="125">
        <v>195</v>
      </c>
      <c r="B143" s="126"/>
      <c r="C143" s="129">
        <f>EDisponible!P55</f>
        <v>302052.29832722351</v>
      </c>
      <c r="D143" s="129">
        <f t="shared" si="76"/>
        <v>125605.76216411107</v>
      </c>
      <c r="E143" s="129">
        <f t="shared" si="77"/>
        <v>23.957124945279443</v>
      </c>
      <c r="F143" s="132">
        <f t="shared" si="78"/>
        <v>7.004091654298441</v>
      </c>
      <c r="G143" s="129">
        <f>EDisponible!V55</f>
        <v>275956.30852601147</v>
      </c>
      <c r="H143" s="129">
        <f t="shared" si="79"/>
        <v>113039.5632710365</v>
      </c>
      <c r="I143" s="129">
        <f t="shared" si="80"/>
        <v>22.120110185351741</v>
      </c>
      <c r="J143" s="132">
        <f t="shared" si="81"/>
        <v>6.4717659633492604</v>
      </c>
      <c r="K143" s="129">
        <f>EDisponible!AB55</f>
        <v>248323.97291061073</v>
      </c>
      <c r="L143" s="129">
        <f t="shared" si="82"/>
        <v>102579.17851898308</v>
      </c>
      <c r="M143" s="129">
        <f t="shared" si="83"/>
        <v>19.788579165626256</v>
      </c>
      <c r="N143" s="132">
        <f t="shared" si="84"/>
        <v>5.7945328891635706</v>
      </c>
      <c r="O143" s="129">
        <f>EDisponible!AH55</f>
        <v>205129.49132586599</v>
      </c>
      <c r="P143" s="129">
        <f t="shared" si="85"/>
        <v>94222.835558059349</v>
      </c>
      <c r="Q143" s="129">
        <f t="shared" si="86"/>
        <v>15.058411841172255</v>
      </c>
      <c r="R143" s="132">
        <f t="shared" si="87"/>
        <v>4.415766836472919</v>
      </c>
      <c r="S143" s="129">
        <f>EDisponible!AN55</f>
        <v>168249.98728047282</v>
      </c>
      <c r="T143" s="129">
        <f t="shared" si="88"/>
        <v>88011.379439140757</v>
      </c>
      <c r="U143" s="129">
        <f t="shared" si="89"/>
        <v>10.894440861752324</v>
      </c>
      <c r="V143" s="132">
        <f t="shared" si="90"/>
        <v>3.1977294524219815</v>
      </c>
      <c r="W143" s="129">
        <f>EDisponible!AT55</f>
        <v>136949.92087284787</v>
      </c>
      <c r="X143" s="129">
        <f t="shared" si="91"/>
        <v>84041.498229189863</v>
      </c>
      <c r="Y143" s="129">
        <f t="shared" si="92"/>
        <v>7.1836700197958034</v>
      </c>
      <c r="Z143" s="132">
        <f t="shared" si="93"/>
        <v>2.1097842493261196</v>
      </c>
      <c r="AA143" s="129">
        <f>EDisponible!AZ55</f>
        <v>110555.93118119787</v>
      </c>
      <c r="AB143" s="129">
        <f t="shared" si="94"/>
        <v>82484.517535442152</v>
      </c>
      <c r="AC143" s="129">
        <f t="shared" si="95"/>
        <v>3.8114115398689572</v>
      </c>
      <c r="AD143" s="132">
        <f t="shared" si="96"/>
        <v>1.1197435503501001</v>
      </c>
      <c r="AE143" s="129">
        <f>EDisponible!BF55</f>
        <v>88453.722666785528</v>
      </c>
      <c r="AF143" s="129">
        <f t="shared" si="97"/>
        <v>83613.474543663979</v>
      </c>
      <c r="AG143" s="129">
        <f t="shared" si="98"/>
        <v>0.6571873360244479</v>
      </c>
      <c r="AH143" s="132">
        <f t="shared" si="99"/>
        <v>0.19309701612283642</v>
      </c>
    </row>
    <row r="144" spans="1:34">
      <c r="A144" s="125">
        <v>200</v>
      </c>
      <c r="B144" s="126"/>
      <c r="C144" s="129">
        <f>EDisponible!P56</f>
        <v>300269.81827660487</v>
      </c>
      <c r="D144" s="129">
        <f t="shared" si="76"/>
        <v>130566.00350553948</v>
      </c>
      <c r="E144" s="129">
        <f t="shared" si="77"/>
        <v>23.632439241757403</v>
      </c>
      <c r="F144" s="132">
        <f t="shared" si="78"/>
        <v>6.7389473252989145</v>
      </c>
      <c r="G144" s="129">
        <f>EDisponible!V56</f>
        <v>274631.63164343429</v>
      </c>
      <c r="H144" s="129">
        <f t="shared" si="79"/>
        <v>117100.70529264075</v>
      </c>
      <c r="I144" s="129">
        <f t="shared" si="80"/>
        <v>21.937279669906605</v>
      </c>
      <c r="J144" s="132">
        <f t="shared" si="81"/>
        <v>6.2595446481937778</v>
      </c>
      <c r="K144" s="129">
        <f>EDisponible!AB56</f>
        <v>247853.48950802637</v>
      </c>
      <c r="L144" s="129">
        <f t="shared" si="82"/>
        <v>105800.81494905984</v>
      </c>
      <c r="M144" s="129">
        <f t="shared" si="83"/>
        <v>19.78182520630228</v>
      </c>
      <c r="N144" s="132">
        <f t="shared" si="84"/>
        <v>5.6487028389678118</v>
      </c>
      <c r="O144" s="129">
        <f>EDisponible!AH56</f>
        <v>206053.92514254642</v>
      </c>
      <c r="P144" s="129">
        <f t="shared" si="85"/>
        <v>96652.024734807768</v>
      </c>
      <c r="Q144" s="129">
        <f t="shared" si="86"/>
        <v>15.234977291503387</v>
      </c>
      <c r="R144" s="132">
        <f t="shared" si="87"/>
        <v>4.3560869341354387</v>
      </c>
      <c r="S144" s="129">
        <f>EDisponible!AN56</f>
        <v>169063.03211053752</v>
      </c>
      <c r="T144" s="129">
        <f t="shared" si="88"/>
        <v>89681.101931990561</v>
      </c>
      <c r="U144" s="129">
        <f t="shared" si="89"/>
        <v>11.054487162640946</v>
      </c>
      <c r="V144" s="132">
        <f t="shared" si="90"/>
        <v>3.1636582128887119</v>
      </c>
      <c r="W144" s="129">
        <f>EDisponible!AT56</f>
        <v>137659.90521462404</v>
      </c>
      <c r="X144" s="129">
        <f t="shared" si="91"/>
        <v>84968.45615766308</v>
      </c>
      <c r="Y144" s="129">
        <f t="shared" si="92"/>
        <v>7.3376516024617828</v>
      </c>
      <c r="Z144" s="132">
        <f t="shared" si="93"/>
        <v>2.101139948677833</v>
      </c>
      <c r="AA144" s="129">
        <f>EDisponible!AZ56</f>
        <v>111171.22049445371</v>
      </c>
      <c r="AB144" s="129">
        <f t="shared" si="94"/>
        <v>82666.000470431973</v>
      </c>
      <c r="AC144" s="129">
        <f t="shared" si="95"/>
        <v>3.9695506032046932</v>
      </c>
      <c r="AD144" s="132">
        <f t="shared" si="96"/>
        <v>1.1370431899254936</v>
      </c>
      <c r="AE144" s="129">
        <f>EDisponible!BF56</f>
        <v>88982.626775411714</v>
      </c>
      <c r="AF144" s="129">
        <f t="shared" si="97"/>
        <v>83022.883029472505</v>
      </c>
      <c r="AG144" s="129">
        <f t="shared" si="98"/>
        <v>0.82993586303497702</v>
      </c>
      <c r="AH144" s="132">
        <f t="shared" si="99"/>
        <v>0.23775774638186686</v>
      </c>
    </row>
    <row r="145" spans="1:34">
      <c r="A145" s="125">
        <v>205</v>
      </c>
      <c r="B145" s="126"/>
      <c r="C145" s="129">
        <f>EDisponible!P57</f>
        <v>298478.42449369858</v>
      </c>
      <c r="D145" s="129">
        <f t="shared" si="76"/>
        <v>135726.1889365268</v>
      </c>
      <c r="E145" s="129">
        <f t="shared" si="77"/>
        <v>23.230992959940561</v>
      </c>
      <c r="F145" s="132">
        <f t="shared" si="78"/>
        <v>6.4652862785861904</v>
      </c>
      <c r="G145" s="129">
        <f>EDisponible!V57</f>
        <v>273307.7065010877</v>
      </c>
      <c r="H145" s="129">
        <f t="shared" si="79"/>
        <v>121350.74909366932</v>
      </c>
      <c r="I145" s="129">
        <f t="shared" si="80"/>
        <v>21.690092278367892</v>
      </c>
      <c r="J145" s="132">
        <f t="shared" si="81"/>
        <v>6.0397278618222936</v>
      </c>
      <c r="K145" s="129">
        <f>EDisponible!AB57</f>
        <v>246913.9909916769</v>
      </c>
      <c r="L145" s="129">
        <f t="shared" si="82"/>
        <v>109204.18716657718</v>
      </c>
      <c r="M145" s="129">
        <f t="shared" si="83"/>
        <v>19.65647643624466</v>
      </c>
      <c r="N145" s="132">
        <f t="shared" si="84"/>
        <v>5.4770757732919417</v>
      </c>
      <c r="O145" s="129">
        <f>EDisponible!AH57</f>
        <v>207045.30637235235</v>
      </c>
      <c r="P145" s="129">
        <f t="shared" si="85"/>
        <v>99259.934483706602</v>
      </c>
      <c r="Q145" s="129">
        <f t="shared" si="86"/>
        <v>15.385111036770432</v>
      </c>
      <c r="R145" s="132">
        <f t="shared" si="87"/>
        <v>4.2919634613454178</v>
      </c>
      <c r="S145" s="129">
        <f>EDisponible!AN57</f>
        <v>169932.81604315824</v>
      </c>
      <c r="T145" s="129">
        <f t="shared" si="88"/>
        <v>91531.094601813806</v>
      </c>
      <c r="U145" s="129">
        <f t="shared" si="89"/>
        <v>11.19093591934894</v>
      </c>
      <c r="V145" s="132">
        <f t="shared" si="90"/>
        <v>3.1246712277655146</v>
      </c>
      <c r="W145" s="129">
        <f>EDisponible!AT57</f>
        <v>138417.68708604251</v>
      </c>
      <c r="X145" s="129">
        <f t="shared" si="91"/>
        <v>86082.3996303686</v>
      </c>
      <c r="Y145" s="129">
        <f t="shared" si="92"/>
        <v>7.4702549570333767</v>
      </c>
      <c r="Z145" s="132">
        <f t="shared" si="93"/>
        <v>2.0869501434380346</v>
      </c>
      <c r="AA145" s="129">
        <f>EDisponible!AZ57</f>
        <v>111826.51346383827</v>
      </c>
      <c r="AB145" s="129">
        <f t="shared" si="94"/>
        <v>83047.205110931027</v>
      </c>
      <c r="AC145" s="129">
        <f t="shared" si="95"/>
        <v>4.1079122965625272</v>
      </c>
      <c r="AD145" s="132">
        <f t="shared" si="96"/>
        <v>1.1479733727381349</v>
      </c>
      <c r="AE145" s="129">
        <f>EDisponible!BF57</f>
        <v>89544.776703741794</v>
      </c>
      <c r="AF145" s="129">
        <f t="shared" si="97"/>
        <v>82651.976036801745</v>
      </c>
      <c r="AG145" s="129">
        <f t="shared" si="98"/>
        <v>0.98386730738152262</v>
      </c>
      <c r="AH145" s="132">
        <f t="shared" si="99"/>
        <v>0.27498054392148868</v>
      </c>
    </row>
    <row r="146" spans="1:34">
      <c r="A146" s="125">
        <v>210</v>
      </c>
      <c r="B146" s="126"/>
      <c r="C146" s="129">
        <f>EDisponible!P58</f>
        <v>296673.86019798467</v>
      </c>
      <c r="D146" s="129">
        <f t="shared" si="76"/>
        <v>141081.13607012367</v>
      </c>
      <c r="E146" s="129">
        <f t="shared" si="77"/>
        <v>22.750740073758436</v>
      </c>
      <c r="F146" s="132">
        <f t="shared" si="78"/>
        <v>6.1831297431494114</v>
      </c>
      <c r="G146" s="129">
        <f>EDisponible!V58</f>
        <v>271980.89148835442</v>
      </c>
      <c r="H146" s="129">
        <f t="shared" si="79"/>
        <v>125783.69559563536</v>
      </c>
      <c r="I146" s="129">
        <f t="shared" si="80"/>
        <v>21.37692762891869</v>
      </c>
      <c r="J146" s="132">
        <f t="shared" si="81"/>
        <v>5.8123965431595055</v>
      </c>
      <c r="K146" s="129">
        <f>EDisponible!AB58</f>
        <v>245979.33705203244</v>
      </c>
      <c r="L146" s="129">
        <f t="shared" si="82"/>
        <v>112782.31441329228</v>
      </c>
      <c r="M146" s="129">
        <f t="shared" si="83"/>
        <v>19.476044639222774</v>
      </c>
      <c r="N146" s="132">
        <f t="shared" si="84"/>
        <v>5.2986295021111225</v>
      </c>
      <c r="O146" s="129">
        <f>EDisponible!AH58</f>
        <v>208103.44590185027</v>
      </c>
      <c r="P146" s="129">
        <f t="shared" si="85"/>
        <v>102038.39613802395</v>
      </c>
      <c r="Q146" s="129">
        <f t="shared" si="86"/>
        <v>15.508812456449402</v>
      </c>
      <c r="R146" s="132">
        <f t="shared" si="87"/>
        <v>4.2237109370397761</v>
      </c>
      <c r="S146" s="129">
        <f>EDisponible!AN58</f>
        <v>170859.21672429668</v>
      </c>
      <c r="T146" s="129">
        <f t="shared" si="88"/>
        <v>93551.740956073452</v>
      </c>
      <c r="U146" s="129">
        <f t="shared" si="89"/>
        <v>11.303885170850917</v>
      </c>
      <c r="V146" s="132">
        <f t="shared" si="90"/>
        <v>3.081145098542835</v>
      </c>
      <c r="W146" s="129">
        <f>EDisponible!AT58</f>
        <v>139223.19726535445</v>
      </c>
      <c r="X146" s="129">
        <f t="shared" si="91"/>
        <v>87371.933816533186</v>
      </c>
      <c r="Y146" s="129">
        <f t="shared" si="92"/>
        <v>7.5816823944203362</v>
      </c>
      <c r="Z146" s="132">
        <f t="shared" si="93"/>
        <v>2.0676657723323038</v>
      </c>
      <c r="AA146" s="129">
        <f>EDisponible!AZ58</f>
        <v>112521.78221621676</v>
      </c>
      <c r="AB146" s="129">
        <f t="shared" si="94"/>
        <v>83614.533944943003</v>
      </c>
      <c r="AC146" s="129">
        <f t="shared" si="95"/>
        <v>4.2268126312057337</v>
      </c>
      <c r="AD146" s="132">
        <f t="shared" si="96"/>
        <v>1.1530753735229731</v>
      </c>
      <c r="AE146" s="129">
        <f>EDisponible!BF58</f>
        <v>90140.175834210604</v>
      </c>
      <c r="AF146" s="129">
        <f t="shared" si="97"/>
        <v>82484.402853887688</v>
      </c>
      <c r="AG146" s="129">
        <f t="shared" si="98"/>
        <v>1.1194257451003859</v>
      </c>
      <c r="AH146" s="132">
        <f t="shared" si="99"/>
        <v>0.30541791990271389</v>
      </c>
    </row>
    <row r="147" spans="1:34">
      <c r="A147" s="125">
        <v>215</v>
      </c>
      <c r="B147" s="126"/>
      <c r="C147" s="129">
        <f>EDisponible!P59</f>
        <v>294851.80668205884</v>
      </c>
      <c r="D147" s="129">
        <f t="shared" si="76"/>
        <v>146626.25802895249</v>
      </c>
      <c r="E147" s="129">
        <f t="shared" si="77"/>
        <v>22.189549027799991</v>
      </c>
      <c r="F147" s="132">
        <f t="shared" si="78"/>
        <v>5.8924746697511168</v>
      </c>
      <c r="G147" s="129">
        <f>EDisponible!V59</f>
        <v>270647.49392964615</v>
      </c>
      <c r="H147" s="129">
        <f t="shared" si="79"/>
        <v>130394.23507588293</v>
      </c>
      <c r="I147" s="129">
        <f t="shared" si="80"/>
        <v>20.99608732721045</v>
      </c>
      <c r="J147" s="132">
        <f t="shared" si="81"/>
        <v>5.5776034112046222</v>
      </c>
      <c r="K147" s="129">
        <f>EDisponible!AB59</f>
        <v>245046.39460820096</v>
      </c>
      <c r="L147" s="129">
        <f t="shared" si="82"/>
        <v>116529.01809189576</v>
      </c>
      <c r="M147" s="129">
        <f t="shared" si="83"/>
        <v>19.239211141709085</v>
      </c>
      <c r="N147" s="132">
        <f t="shared" si="84"/>
        <v>5.1134760945330555</v>
      </c>
      <c r="O147" s="129">
        <f>EDisponible!AH59</f>
        <v>209228.21518934079</v>
      </c>
      <c r="P147" s="129">
        <f t="shared" si="85"/>
        <v>104980.17969486679</v>
      </c>
      <c r="Q147" s="129">
        <f t="shared" si="86"/>
        <v>15.606060599378232</v>
      </c>
      <c r="R147" s="132">
        <f t="shared" si="87"/>
        <v>4.1516091837352258</v>
      </c>
      <c r="S147" s="129">
        <f>EDisponible!AN59</f>
        <v>171842.16293765546</v>
      </c>
      <c r="T147" s="129">
        <f t="shared" si="88"/>
        <v>95734.529536150265</v>
      </c>
      <c r="U147" s="129">
        <f t="shared" si="89"/>
        <v>11.393407399049865</v>
      </c>
      <c r="V147" s="132">
        <f t="shared" si="90"/>
        <v>3.0334145287799519</v>
      </c>
      <c r="W147" s="129">
        <f>EDisponible!AT59</f>
        <v>140076.4094411238</v>
      </c>
      <c r="X147" s="129">
        <f t="shared" si="91"/>
        <v>88826.97326865849</v>
      </c>
      <c r="Y147" s="129">
        <f t="shared" si="92"/>
        <v>7.6721043499554167</v>
      </c>
      <c r="Z147" s="132">
        <f t="shared" si="93"/>
        <v>2.0436872577866274</v>
      </c>
      <c r="AA147" s="129">
        <f>EDisponible!AZ59</f>
        <v>113257.03464838001</v>
      </c>
      <c r="AB147" s="129">
        <f t="shared" si="94"/>
        <v>84355.951954478078</v>
      </c>
      <c r="AC147" s="129">
        <f t="shared" si="95"/>
        <v>4.3265280325842062</v>
      </c>
      <c r="AD147" s="132">
        <f t="shared" si="96"/>
        <v>1.1528295024343276</v>
      </c>
      <c r="AE147" s="129">
        <f>EDisponible!BF59</f>
        <v>90768.857154537283</v>
      </c>
      <c r="AF147" s="129">
        <f t="shared" si="97"/>
        <v>82505.691633948343</v>
      </c>
      <c r="AG147" s="129">
        <f t="shared" si="98"/>
        <v>1.2370061579130618</v>
      </c>
      <c r="AH147" s="132">
        <f t="shared" si="99"/>
        <v>0.32964860481721131</v>
      </c>
    </row>
    <row r="148" spans="1:34">
      <c r="A148" s="125">
        <v>220</v>
      </c>
      <c r="B148" s="126"/>
      <c r="C148" s="129">
        <f>EDisponible!P60</f>
        <v>293007.87413903838</v>
      </c>
      <c r="D148" s="129">
        <f t="shared" si="76"/>
        <v>152357.48317716806</v>
      </c>
      <c r="E148" s="129">
        <f t="shared" si="77"/>
        <v>21.545202183827453</v>
      </c>
      <c r="F148" s="132">
        <f t="shared" si="78"/>
        <v>5.5932965865711504</v>
      </c>
      <c r="G148" s="129">
        <f>EDisponible!V60</f>
        <v>269303.76199956052</v>
      </c>
      <c r="H148" s="129">
        <f t="shared" si="79"/>
        <v>135177.6542501197</v>
      </c>
      <c r="I148" s="129">
        <f t="shared" si="80"/>
        <v>20.545795072655952</v>
      </c>
      <c r="J148" s="132">
        <f t="shared" si="81"/>
        <v>5.3353763148129794</v>
      </c>
      <c r="K148" s="129">
        <f>EDisponible!AB60</f>
        <v>244111.981760155</v>
      </c>
      <c r="L148" s="129">
        <f t="shared" si="82"/>
        <v>120438.81364367637</v>
      </c>
      <c r="M148" s="129">
        <f t="shared" si="83"/>
        <v>18.944585888185451</v>
      </c>
      <c r="N148" s="132">
        <f t="shared" si="84"/>
        <v>4.9216988520049973</v>
      </c>
      <c r="O148" s="129">
        <f>EDisponible!AH60</f>
        <v>210419.54297531708</v>
      </c>
      <c r="P148" s="129">
        <f t="shared" si="85"/>
        <v>108078.86729377853</v>
      </c>
      <c r="Q148" s="129">
        <f t="shared" si="86"/>
        <v>15.676817775686194</v>
      </c>
      <c r="R148" s="132">
        <f t="shared" si="87"/>
        <v>4.0759082193063048</v>
      </c>
      <c r="S148" s="129">
        <f>EDisponible!AN60</f>
        <v>172881.6318644727</v>
      </c>
      <c r="T148" s="129">
        <f t="shared" si="88"/>
        <v>98071.904971111653</v>
      </c>
      <c r="U148" s="129">
        <f t="shared" si="89"/>
        <v>11.459553579707622</v>
      </c>
      <c r="V148" s="132">
        <f t="shared" si="90"/>
        <v>2.9817781554536538</v>
      </c>
      <c r="W148" s="129">
        <f>EDisponible!AT60</f>
        <v>140977.33794475385</v>
      </c>
      <c r="X148" s="129">
        <f t="shared" si="91"/>
        <v>90438.565432278789</v>
      </c>
      <c r="Y148" s="129">
        <f t="shared" si="92"/>
        <v>7.741664025654388</v>
      </c>
      <c r="Z148" s="132">
        <f t="shared" si="93"/>
        <v>2.0153714698603702</v>
      </c>
      <c r="AA148" s="129">
        <f>EDisponible!AZ60</f>
        <v>114032.31256402485</v>
      </c>
      <c r="AB148" s="129">
        <f t="shared" si="94"/>
        <v>85260.77600881079</v>
      </c>
      <c r="AC148" s="129">
        <f t="shared" si="95"/>
        <v>4.407300740383425</v>
      </c>
      <c r="AD148" s="132">
        <f t="shared" si="96"/>
        <v>1.1476634476295964</v>
      </c>
      <c r="AE148" s="129">
        <f>EDisponible!BF60</f>
        <v>91430.881738578595</v>
      </c>
      <c r="AF148" s="129">
        <f t="shared" si="97"/>
        <v>82702.996145167475</v>
      </c>
      <c r="AG148" s="129">
        <f t="shared" si="98"/>
        <v>1.3369608037444796</v>
      </c>
      <c r="AH148" s="132">
        <f t="shared" si="99"/>
        <v>0.34818758385961579</v>
      </c>
    </row>
    <row r="149" spans="1:34">
      <c r="A149" s="125">
        <v>225</v>
      </c>
      <c r="B149" s="126"/>
      <c r="C149" s="129">
        <f>EDisponible!P61</f>
        <v>291137.59280943929</v>
      </c>
      <c r="D149" s="129">
        <f t="shared" si="76"/>
        <v>158271.187197033</v>
      </c>
      <c r="E149" s="129">
        <f t="shared" si="77"/>
        <v>20.815394868462366</v>
      </c>
      <c r="F149" s="132">
        <f t="shared" si="78"/>
        <v>5.2855520099275566</v>
      </c>
      <c r="G149" s="129">
        <f>EDisponible!V61</f>
        <v>267945.87690387352</v>
      </c>
      <c r="H149" s="129">
        <f t="shared" si="79"/>
        <v>140129.75764495091</v>
      </c>
      <c r="I149" s="129">
        <f t="shared" si="80"/>
        <v>20.024196339669217</v>
      </c>
      <c r="J149" s="132">
        <f t="shared" si="81"/>
        <v>5.0857210471305194</v>
      </c>
      <c r="K149" s="129">
        <f>EDisponible!AB61</f>
        <v>243172.86091096228</v>
      </c>
      <c r="L149" s="129">
        <f t="shared" si="82"/>
        <v>124506.81905458026</v>
      </c>
      <c r="M149" s="129">
        <f t="shared" si="83"/>
        <v>18.590707766444105</v>
      </c>
      <c r="N149" s="132">
        <f t="shared" si="84"/>
        <v>4.7233556506311389</v>
      </c>
      <c r="O149" s="129">
        <f>EDisponible!AH61</f>
        <v>211677.41229316397</v>
      </c>
      <c r="P149" s="129">
        <f t="shared" si="85"/>
        <v>111328.74615336784</v>
      </c>
      <c r="Q149" s="129">
        <f t="shared" si="86"/>
        <v>15.721032721519755</v>
      </c>
      <c r="R149" s="132">
        <f t="shared" si="87"/>
        <v>3.9968323864195008</v>
      </c>
      <c r="S149" s="129">
        <f>EDisponible!AN61</f>
        <v>173977.64659154764</v>
      </c>
      <c r="T149" s="129">
        <f t="shared" si="88"/>
        <v>100557.14193828033</v>
      </c>
      <c r="U149" s="129">
        <f t="shared" si="89"/>
        <v>11.502356737622442</v>
      </c>
      <c r="V149" s="132">
        <f t="shared" si="90"/>
        <v>2.9265034746423475</v>
      </c>
      <c r="W149" s="129">
        <f>EDisponible!AT61</f>
        <v>141926.03568663393</v>
      </c>
      <c r="X149" s="129">
        <f t="shared" si="91"/>
        <v>92198.741298578476</v>
      </c>
      <c r="Y149" s="129">
        <f t="shared" si="92"/>
        <v>7.7904814513247871</v>
      </c>
      <c r="Z149" s="132">
        <f t="shared" si="93"/>
        <v>1.9830376119225748</v>
      </c>
      <c r="AA149" s="129">
        <f>EDisponible!AZ61</f>
        <v>114847.68997632276</v>
      </c>
      <c r="AB149" s="129">
        <f t="shared" si="94"/>
        <v>86319.496647456384</v>
      </c>
      <c r="AC149" s="129">
        <f t="shared" si="95"/>
        <v>4.4693435205621261</v>
      </c>
      <c r="AD149" s="132">
        <f t="shared" si="96"/>
        <v>1.1379593299774011</v>
      </c>
      <c r="AE149" s="129">
        <f>EDisponible!BF61</f>
        <v>92126.337360565711</v>
      </c>
      <c r="AF149" s="129">
        <f t="shared" si="97"/>
        <v>83064.881468608393</v>
      </c>
      <c r="AG149" s="129">
        <f t="shared" si="98"/>
        <v>1.4196047646872927</v>
      </c>
      <c r="AH149" s="132">
        <f t="shared" si="99"/>
        <v>0.36149458812309748</v>
      </c>
    </row>
    <row r="150" spans="1:34">
      <c r="A150" s="125">
        <v>230</v>
      </c>
      <c r="B150" s="126"/>
      <c r="C150" s="129">
        <f>EDisponible!P62</f>
        <v>289236.40438668698</v>
      </c>
      <c r="D150" s="129">
        <f t="shared" si="76"/>
        <v>164364.13538711154</v>
      </c>
      <c r="E150" s="129">
        <f t="shared" si="77"/>
        <v>19.997734059236997</v>
      </c>
      <c r="F150" s="132">
        <f t="shared" si="78"/>
        <v>4.9691804906032102</v>
      </c>
      <c r="G150" s="129">
        <f>EDisponible!V62</f>
        <v>266569.94527454727</v>
      </c>
      <c r="H150" s="129">
        <f t="shared" si="79"/>
        <v>145246.80080285453</v>
      </c>
      <c r="I150" s="129">
        <f t="shared" si="80"/>
        <v>19.429357677352286</v>
      </c>
      <c r="J150" s="132">
        <f t="shared" si="81"/>
        <v>4.8286237190695775</v>
      </c>
      <c r="K150" s="129">
        <f>EDisponible!AB62</f>
        <v>242225.73206459556</v>
      </c>
      <c r="L150" s="129">
        <f t="shared" si="82"/>
        <v>128728.67712995343</v>
      </c>
      <c r="M150" s="129">
        <f t="shared" si="83"/>
        <v>18.176044523522691</v>
      </c>
      <c r="N150" s="132">
        <f t="shared" si="84"/>
        <v>4.5184817558793879</v>
      </c>
      <c r="O150" s="129">
        <f>EDisponible!AH62</f>
        <v>213001.85774414925</v>
      </c>
      <c r="P150" s="129">
        <f t="shared" si="85"/>
        <v>114724.71761962379</v>
      </c>
      <c r="Q150" s="129">
        <f t="shared" si="86"/>
        <v>15.738643399835329</v>
      </c>
      <c r="R150" s="132">
        <f t="shared" si="87"/>
        <v>3.9145838517330165</v>
      </c>
      <c r="S150" s="129">
        <f>EDisponible!AN62</f>
        <v>175130.27383769734</v>
      </c>
      <c r="T150" s="129">
        <f t="shared" si="88"/>
        <v>103184.23809114688</v>
      </c>
      <c r="U150" s="129">
        <f t="shared" si="89"/>
        <v>11.521835079978938</v>
      </c>
      <c r="V150" s="132">
        <f t="shared" si="90"/>
        <v>2.8678310181566524</v>
      </c>
      <c r="W150" s="129">
        <f>EDisponible!AT62</f>
        <v>142922.59227137646</v>
      </c>
      <c r="X150" s="129">
        <f t="shared" si="91"/>
        <v>94100.388531905512</v>
      </c>
      <c r="Y150" s="129">
        <f t="shared" si="92"/>
        <v>7.8186570516400682</v>
      </c>
      <c r="Z150" s="132">
        <f t="shared" si="93"/>
        <v>1.9469722141159422</v>
      </c>
      <c r="AA150" s="129">
        <f>EDisponible!AZ62</f>
        <v>115703.27155604052</v>
      </c>
      <c r="AB150" s="129">
        <f t="shared" si="94"/>
        <v>87523.626682559698</v>
      </c>
      <c r="AC150" s="129">
        <f t="shared" si="95"/>
        <v>4.5128437929283294</v>
      </c>
      <c r="AD150" s="132">
        <f t="shared" si="96"/>
        <v>1.1240596915380288</v>
      </c>
      <c r="AE150" s="129">
        <f>EDisponible!BF62</f>
        <v>92855.337226490956</v>
      </c>
      <c r="AF150" s="129">
        <f t="shared" si="97"/>
        <v>83581.141945887139</v>
      </c>
      <c r="AG150" s="129">
        <f t="shared" si="98"/>
        <v>1.4852207965851614</v>
      </c>
      <c r="AH150" s="132">
        <f t="shared" si="99"/>
        <v>0.36998130651598526</v>
      </c>
    </row>
    <row r="151" spans="1:34">
      <c r="A151" s="125">
        <v>235</v>
      </c>
      <c r="B151" s="126"/>
      <c r="C151" s="129">
        <f>EDisponible!P63</f>
        <v>287299.65362848435</v>
      </c>
      <c r="D151" s="129">
        <f t="shared" si="76"/>
        <v>170633.4334611714</v>
      </c>
      <c r="E151" s="129">
        <f t="shared" si="77"/>
        <v>19.089736739165129</v>
      </c>
      <c r="F151" s="132">
        <f t="shared" si="78"/>
        <v>4.644106361229273</v>
      </c>
      <c r="G151" s="129">
        <f>EDisponible!V63</f>
        <v>265171.99173374608</v>
      </c>
      <c r="H151" s="129">
        <f t="shared" si="79"/>
        <v>150525.43332749006</v>
      </c>
      <c r="I151" s="129">
        <f t="shared" si="80"/>
        <v>18.759265663086353</v>
      </c>
      <c r="J151" s="132">
        <f t="shared" si="81"/>
        <v>4.5640527683647623</v>
      </c>
      <c r="K151" s="129">
        <f>EDisponible!AB63</f>
        <v>241267.22626109983</v>
      </c>
      <c r="L151" s="129">
        <f t="shared" si="82"/>
        <v>133100.48921987458</v>
      </c>
      <c r="M151" s="129">
        <f t="shared" si="83"/>
        <v>17.698992314058177</v>
      </c>
      <c r="N151" s="132">
        <f t="shared" si="84"/>
        <v>4.3070921997890483</v>
      </c>
      <c r="O151" s="129">
        <f>EDisponible!AH63</f>
        <v>214392.96300564011</v>
      </c>
      <c r="P151" s="129">
        <f t="shared" si="85"/>
        <v>118262.21961335606</v>
      </c>
      <c r="Q151" s="129">
        <f t="shared" si="86"/>
        <v>15.729579489822999</v>
      </c>
      <c r="R151" s="132">
        <f t="shared" si="87"/>
        <v>3.8293455817923894</v>
      </c>
      <c r="S151" s="129">
        <f>EDisponible!AN63</f>
        <v>176339.62187288346</v>
      </c>
      <c r="T151" s="129">
        <f t="shared" si="88"/>
        <v>105947.82276128691</v>
      </c>
      <c r="U151" s="129">
        <f t="shared" si="89"/>
        <v>11.517994769261115</v>
      </c>
      <c r="V151" s="132">
        <f t="shared" si="90"/>
        <v>2.8059779079379106</v>
      </c>
      <c r="W151" s="129">
        <f>EDisponible!AT63</f>
        <v>143967.1322709306</v>
      </c>
      <c r="X151" s="129">
        <f t="shared" si="91"/>
        <v>96137.143288311665</v>
      </c>
      <c r="Y151" s="129">
        <f t="shared" si="92"/>
        <v>7.8262747915028594</v>
      </c>
      <c r="Z151" s="132">
        <f t="shared" si="93"/>
        <v>1.9074333853440171</v>
      </c>
      <c r="AA151" s="129">
        <f>EDisponible!AZ63</f>
        <v>116599.19120787342</v>
      </c>
      <c r="AB151" s="129">
        <f t="shared" si="94"/>
        <v>88865.572105385494</v>
      </c>
      <c r="AC151" s="129">
        <f t="shared" si="95"/>
        <v>4.5379672602019232</v>
      </c>
      <c r="AD151" s="132">
        <f t="shared" si="96"/>
        <v>1.1062725975158885</v>
      </c>
      <c r="AE151" s="129">
        <f>EDisponible!BF63</f>
        <v>93618.018808588953</v>
      </c>
      <c r="AF151" s="129">
        <f t="shared" si="97"/>
        <v>84242.645947041005</v>
      </c>
      <c r="AG151" s="129">
        <f t="shared" si="98"/>
        <v>1.5340635832873892</v>
      </c>
      <c r="AH151" s="132">
        <f t="shared" si="99"/>
        <v>0.37401753335464366</v>
      </c>
    </row>
    <row r="152" spans="1:34">
      <c r="A152" s="125">
        <v>240</v>
      </c>
      <c r="B152" s="126"/>
      <c r="C152" s="129">
        <f>EDisponible!P64</f>
        <v>285322.58012803749</v>
      </c>
      <c r="D152" s="129">
        <f t="shared" si="76"/>
        <v>177076.48544610373</v>
      </c>
      <c r="E152" s="129">
        <f t="shared" si="77"/>
        <v>18.08882794423414</v>
      </c>
      <c r="F152" s="132">
        <f t="shared" si="78"/>
        <v>4.310240238264381</v>
      </c>
      <c r="G152" s="129">
        <f>EDisponible!V64</f>
        <v>263747.9515875504</v>
      </c>
      <c r="H152" s="129">
        <f t="shared" si="79"/>
        <v>155962.65014675801</v>
      </c>
      <c r="I152" s="129">
        <f t="shared" si="80"/>
        <v>18.011825538915371</v>
      </c>
      <c r="J152" s="132">
        <f t="shared" si="81"/>
        <v>4.291960666626788</v>
      </c>
      <c r="K152" s="129">
        <f>EDisponible!AB64</f>
        <v>240293.89911567181</v>
      </c>
      <c r="L152" s="129">
        <f t="shared" si="82"/>
        <v>137618.7585069784</v>
      </c>
      <c r="M152" s="129">
        <f t="shared" si="83"/>
        <v>17.157874915284879</v>
      </c>
      <c r="N152" s="132">
        <f t="shared" si="84"/>
        <v>4.0891837940499585</v>
      </c>
      <c r="O152" s="129">
        <f>EDisponible!AH64</f>
        <v>215850.85854560675</v>
      </c>
      <c r="P152" s="129">
        <f t="shared" si="85"/>
        <v>121937.16026736551</v>
      </c>
      <c r="Q152" s="129">
        <f t="shared" si="86"/>
        <v>15.693764608815503</v>
      </c>
      <c r="R152" s="132">
        <f t="shared" si="87"/>
        <v>3.7412838825885966</v>
      </c>
      <c r="S152" s="129">
        <f>EDisponible!AN64</f>
        <v>177605.8386076529</v>
      </c>
      <c r="T152" s="129">
        <f t="shared" si="88"/>
        <v>108843.07883329169</v>
      </c>
      <c r="U152" s="129">
        <f t="shared" si="89"/>
        <v>11.490832386923245</v>
      </c>
      <c r="V152" s="132">
        <f t="shared" si="90"/>
        <v>2.7411408914146982</v>
      </c>
      <c r="W152" s="129">
        <f>EDisponible!AT64</f>
        <v>145059.81363715307</v>
      </c>
      <c r="X152" s="129">
        <f t="shared" si="91"/>
        <v>98303.297643136568</v>
      </c>
      <c r="Y152" s="129">
        <f t="shared" si="92"/>
        <v>7.8134049599921065</v>
      </c>
      <c r="Z152" s="132">
        <f t="shared" si="93"/>
        <v>1.864654446490486</v>
      </c>
      <c r="AA152" s="129">
        <f>EDisponible!AZ64</f>
        <v>117535.61075992779</v>
      </c>
      <c r="AB152" s="129">
        <f t="shared" si="94"/>
        <v>90338.521619163497</v>
      </c>
      <c r="AC152" s="129">
        <f t="shared" si="95"/>
        <v>4.5448611102031062</v>
      </c>
      <c r="AD152" s="132">
        <f t="shared" si="96"/>
        <v>1.0848759980599723</v>
      </c>
      <c r="AE152" s="129">
        <f>EDisponible!BF64</f>
        <v>94414.542770687869</v>
      </c>
      <c r="AF152" s="129">
        <f t="shared" si="97"/>
        <v>85065.954142074625</v>
      </c>
      <c r="AG152" s="129">
        <f t="shared" si="98"/>
        <v>1.5622273646111722</v>
      </c>
      <c r="AH152" s="132">
        <f t="shared" si="99"/>
        <v>0.37294904365141485</v>
      </c>
    </row>
    <row r="153" spans="1:34">
      <c r="A153" s="125">
        <v>245</v>
      </c>
      <c r="B153" s="126"/>
      <c r="C153" s="129">
        <f>EDisponible!P65</f>
        <v>283300.31020483177</v>
      </c>
      <c r="D153" s="129">
        <f t="shared" si="76"/>
        <v>183690.95753192698</v>
      </c>
      <c r="E153" s="129">
        <f t="shared" si="77"/>
        <v>16.992338523490552</v>
      </c>
      <c r="F153" s="132">
        <f t="shared" si="78"/>
        <v>3.9674803226532291</v>
      </c>
      <c r="G153" s="129">
        <f>EDisponible!V65</f>
        <v>262293.66361487116</v>
      </c>
      <c r="H153" s="129">
        <f t="shared" si="79"/>
        <v>161555.74966593209</v>
      </c>
      <c r="I153" s="129">
        <f t="shared" si="80"/>
        <v>17.184859554219965</v>
      </c>
      <c r="J153" s="132">
        <f t="shared" si="81"/>
        <v>4.0122853755884957</v>
      </c>
      <c r="K153" s="129">
        <f>EDisponible!AB65</f>
        <v>239302.2244322428</v>
      </c>
      <c r="L153" s="129">
        <f t="shared" si="82"/>
        <v>142280.3413118321</v>
      </c>
      <c r="M153" s="129">
        <f t="shared" si="83"/>
        <v>16.550942636704875</v>
      </c>
      <c r="N153" s="132">
        <f t="shared" si="84"/>
        <v>3.8647368390019925</v>
      </c>
      <c r="O153" s="129">
        <f>EDisponible!AH65</f>
        <v>215361.26124199288</v>
      </c>
      <c r="P153" s="129">
        <f t="shared" si="85"/>
        <v>125745.86094550608</v>
      </c>
      <c r="Q153" s="129">
        <f t="shared" si="86"/>
        <v>15.287472289439309</v>
      </c>
      <c r="R153" s="132">
        <f t="shared" si="87"/>
        <v>3.5705041236984538</v>
      </c>
      <c r="S153" s="129">
        <f>EDisponible!AN65</f>
        <v>178929.10983342474</v>
      </c>
      <c r="T153" s="129">
        <f t="shared" si="88"/>
        <v>111865.67566444972</v>
      </c>
      <c r="U153" s="129">
        <f t="shared" si="89"/>
        <v>11.44033713068216</v>
      </c>
      <c r="V153" s="132">
        <f t="shared" si="90"/>
        <v>2.6734989421641639</v>
      </c>
      <c r="W153" s="129">
        <f>EDisponible!AT65</f>
        <v>146200.82623778196</v>
      </c>
      <c r="X153" s="129">
        <f t="shared" si="91"/>
        <v>100593.72010580331</v>
      </c>
      <c r="Y153" s="129">
        <f t="shared" si="92"/>
        <v>7.7801066433608774</v>
      </c>
      <c r="Z153" s="132">
        <f t="shared" si="93"/>
        <v>1.8188470452183871</v>
      </c>
      <c r="AA153" s="129">
        <f>EDisponible!AZ65</f>
        <v>118512.71875321187</v>
      </c>
      <c r="AB153" s="129">
        <f t="shared" si="94"/>
        <v>91954.060881476151</v>
      </c>
      <c r="AC153" s="129">
        <f t="shared" si="95"/>
        <v>4.5306358607514472</v>
      </c>
      <c r="AD153" s="132">
        <f t="shared" si="96"/>
        <v>1.0594152215691959</v>
      </c>
      <c r="AE153" s="129">
        <f>EDisponible!BF65</f>
        <v>95245.091973762086</v>
      </c>
      <c r="AF153" s="129">
        <f t="shared" si="97"/>
        <v>87486.535832278372</v>
      </c>
      <c r="AG153" s="129">
        <f t="shared" si="98"/>
        <v>1.3235304604630693</v>
      </c>
      <c r="AH153" s="132">
        <f t="shared" si="99"/>
        <v>0.30951825211968581</v>
      </c>
    </row>
    <row r="154" spans="1:34">
      <c r="A154" s="125">
        <v>250</v>
      </c>
      <c r="B154" s="126"/>
      <c r="C154" s="129">
        <f>EDisponible!P66</f>
        <v>281227.84887947468</v>
      </c>
      <c r="D154" s="129">
        <f t="shared" si="76"/>
        <v>190474.74693127256</v>
      </c>
      <c r="E154" s="129">
        <f t="shared" si="77"/>
        <v>15.797502627483494</v>
      </c>
      <c r="F154" s="132">
        <f t="shared" si="78"/>
        <v>3.6157135357124441</v>
      </c>
      <c r="G154" s="129">
        <f>EDisponible!V66</f>
        <v>260804.86292112892</v>
      </c>
      <c r="H154" s="129">
        <f t="shared" si="79"/>
        <v>167302.2977197158</v>
      </c>
      <c r="I154" s="129">
        <f t="shared" si="80"/>
        <v>16.276105033730285</v>
      </c>
      <c r="J154" s="132">
        <f t="shared" si="81"/>
        <v>3.7249515947760945</v>
      </c>
      <c r="K154" s="129">
        <f>EDisponible!AB66</f>
        <v>238288.58786555473</v>
      </c>
      <c r="L154" s="129">
        <f t="shared" si="82"/>
        <v>147082.40514616357</v>
      </c>
      <c r="M154" s="129">
        <f t="shared" si="83"/>
        <v>15.876370947349917</v>
      </c>
      <c r="N154" s="132">
        <f t="shared" si="84"/>
        <v>3.633716577952498</v>
      </c>
      <c r="O154" s="129">
        <f>EDisponible!AH66</f>
        <v>214728.19023571484</v>
      </c>
      <c r="P154" s="129">
        <f t="shared" si="85"/>
        <v>129685.00715787402</v>
      </c>
      <c r="Q154" s="129">
        <f t="shared" si="86"/>
        <v>14.803570118061018</v>
      </c>
      <c r="R154" s="132">
        <f t="shared" si="87"/>
        <v>3.3887713365243037</v>
      </c>
      <c r="S154" s="129">
        <f>EDisponible!AN66</f>
        <v>180309.65759659346</v>
      </c>
      <c r="T154" s="129">
        <f t="shared" si="88"/>
        <v>115011.7113000762</v>
      </c>
      <c r="U154" s="129">
        <f t="shared" si="89"/>
        <v>11.366492781450793</v>
      </c>
      <c r="V154" s="132">
        <f t="shared" si="90"/>
        <v>2.6032154951235142</v>
      </c>
      <c r="W154" s="129">
        <f>EDisponible!AT66</f>
        <v>147390.39050176713</v>
      </c>
      <c r="X154" s="129">
        <f t="shared" si="91"/>
        <v>103019.04259053757</v>
      </c>
      <c r="Y154" s="129">
        <f t="shared" si="92"/>
        <v>7.723774396303372</v>
      </c>
      <c r="Z154" s="132">
        <f t="shared" si="93"/>
        <v>1.7695958119548325</v>
      </c>
      <c r="AA154" s="129">
        <f>EDisponible!AZ66</f>
        <v>119530.72931963032</v>
      </c>
      <c r="AB154" s="129">
        <f t="shared" si="94"/>
        <v>95280.232394851817</v>
      </c>
      <c r="AC154" s="129">
        <f t="shared" si="95"/>
        <v>4.2213134390229863</v>
      </c>
      <c r="AD154" s="132">
        <f t="shared" si="96"/>
        <v>0.96736184779618961</v>
      </c>
      <c r="AE154" s="129">
        <f>EDisponible!BF66</f>
        <v>96109.870552333101</v>
      </c>
      <c r="AF154" s="129">
        <f t="shared" si="97"/>
        <v>94256.704018783596</v>
      </c>
      <c r="AG154" s="129">
        <f t="shared" si="98"/>
        <v>0.32258294817979777</v>
      </c>
      <c r="AH154" s="132">
        <f t="shared" si="99"/>
        <v>7.3930524864016925E-2</v>
      </c>
    </row>
    <row r="155" spans="1:34">
      <c r="A155" s="125">
        <v>255</v>
      </c>
      <c r="B155" s="126"/>
      <c r="C155" s="129">
        <f>EDisponible!P67</f>
        <v>279100.07190119667</v>
      </c>
      <c r="D155" s="129">
        <f t="shared" si="76"/>
        <v>197425.95497041932</v>
      </c>
      <c r="E155" s="129">
        <f t="shared" si="77"/>
        <v>14.501454937581316</v>
      </c>
      <c r="F155" s="132">
        <f t="shared" si="78"/>
        <v>3.2548165207621467</v>
      </c>
      <c r="G155" s="129">
        <f>EDisponible!V67</f>
        <v>259277.17382969995</v>
      </c>
      <c r="H155" s="129">
        <f t="shared" si="79"/>
        <v>173200.09642269739</v>
      </c>
      <c r="I155" s="129">
        <f t="shared" si="80"/>
        <v>15.283212186233872</v>
      </c>
      <c r="J155" s="132">
        <f t="shared" si="81"/>
        <v>3.4298718356547595</v>
      </c>
      <c r="K155" s="129">
        <f>EDisponible!AB67</f>
        <v>237249.2806086106</v>
      </c>
      <c r="L155" s="129">
        <f t="shared" si="82"/>
        <v>152022.39246605357</v>
      </c>
      <c r="M155" s="129">
        <f t="shared" si="83"/>
        <v>15.132258839322001</v>
      </c>
      <c r="N155" s="132">
        <f t="shared" si="84"/>
        <v>3.3960744376561949</v>
      </c>
      <c r="O155" s="129">
        <f>EDisponible!AH67</f>
        <v>214079.90882189752</v>
      </c>
      <c r="P155" s="129">
        <f t="shared" si="85"/>
        <v>133751.6061459175</v>
      </c>
      <c r="Q155" s="129">
        <f t="shared" si="86"/>
        <v>14.262502066051173</v>
      </c>
      <c r="R155" s="132">
        <f t="shared" si="87"/>
        <v>3.2012966078760097</v>
      </c>
      <c r="S155" s="129">
        <f>EDisponible!AN67</f>
        <v>181747.73869151494</v>
      </c>
      <c r="T155" s="129">
        <f t="shared" si="88"/>
        <v>118294.55562467538</v>
      </c>
      <c r="U155" s="129">
        <f t="shared" si="89"/>
        <v>11.266280058708849</v>
      </c>
      <c r="V155" s="132">
        <f t="shared" si="90"/>
        <v>2.5297677509659828</v>
      </c>
      <c r="W155" s="129">
        <f>EDisponible!AT67</f>
        <v>148628.75616162177</v>
      </c>
      <c r="X155" s="129">
        <f t="shared" si="91"/>
        <v>107342.23517227285</v>
      </c>
      <c r="Y155" s="129">
        <f t="shared" si="92"/>
        <v>7.3305307257131096</v>
      </c>
      <c r="Z155" s="132">
        <f t="shared" si="93"/>
        <v>1.6466385534509163</v>
      </c>
      <c r="AA155" s="129">
        <f>EDisponible!AZ67</f>
        <v>120589.88113836778</v>
      </c>
      <c r="AB155" s="129">
        <f t="shared" si="94"/>
        <v>103584.92137728418</v>
      </c>
      <c r="AC155" s="129">
        <f t="shared" si="95"/>
        <v>3.019275468870263</v>
      </c>
      <c r="AD155" s="132">
        <f t="shared" si="96"/>
        <v>0.67836728697680793</v>
      </c>
      <c r="AE155" s="129">
        <f>EDisponible!BF67</f>
        <v>97009.103053489351</v>
      </c>
      <c r="AF155" s="129">
        <f t="shared" si="97"/>
        <v>107768.02339559348</v>
      </c>
      <c r="AG155" s="129">
        <f t="shared" si="98"/>
        <v>-1.9102746914335702</v>
      </c>
      <c r="AH155" s="132">
        <f t="shared" si="99"/>
        <v>-0.42921031439792379</v>
      </c>
    </row>
    <row r="156" spans="1:34">
      <c r="A156" s="125">
        <v>260</v>
      </c>
      <c r="B156" s="126"/>
      <c r="C156" s="129">
        <f>EDisponible!P68</f>
        <v>276911.71780007443</v>
      </c>
      <c r="D156" s="129">
        <f t="shared" si="76"/>
        <v>204542.86376725894</v>
      </c>
      <c r="E156" s="129">
        <f t="shared" si="77"/>
        <v>13.10122764596237</v>
      </c>
      <c r="F156" s="132">
        <f t="shared" si="78"/>
        <v>2.8846565361816325</v>
      </c>
      <c r="G156" s="129">
        <f>EDisponible!V68</f>
        <v>257706.10278705705</v>
      </c>
      <c r="H156" s="129">
        <f t="shared" si="79"/>
        <v>179247.15717199951</v>
      </c>
      <c r="I156" s="129">
        <f t="shared" si="80"/>
        <v>14.20374166625531</v>
      </c>
      <c r="J156" s="132">
        <f t="shared" si="81"/>
        <v>3.1269473515181456</v>
      </c>
      <c r="K156" s="129">
        <f>EDisponible!AB68</f>
        <v>236180.49308482822</v>
      </c>
      <c r="L156" s="129">
        <f t="shared" si="82"/>
        <v>157097.98925678158</v>
      </c>
      <c r="M156" s="129">
        <f t="shared" si="83"/>
        <v>14.316626942774615</v>
      </c>
      <c r="N156" s="132">
        <f t="shared" si="84"/>
        <v>3.1517490889057953</v>
      </c>
      <c r="O156" s="129">
        <f>EDisponible!AH68</f>
        <v>213413.21323244835</v>
      </c>
      <c r="P156" s="129">
        <f t="shared" si="85"/>
        <v>137967.02466423385</v>
      </c>
      <c r="Q156" s="129">
        <f t="shared" si="86"/>
        <v>13.65833001865937</v>
      </c>
      <c r="R156" s="132">
        <f t="shared" si="87"/>
        <v>3.0070999836929313</v>
      </c>
      <c r="S156" s="129">
        <f>EDisponible!AN68</f>
        <v>183243.64325921735</v>
      </c>
      <c r="T156" s="129">
        <f t="shared" si="88"/>
        <v>123761.1497876385</v>
      </c>
      <c r="U156" s="129">
        <f t="shared" si="89"/>
        <v>10.768357442377852</v>
      </c>
      <c r="V156" s="132">
        <f t="shared" si="90"/>
        <v>2.3716500657493436</v>
      </c>
      <c r="W156" s="129">
        <f>EDisponible!AT68</f>
        <v>149916.20108192565</v>
      </c>
      <c r="X156" s="129">
        <f t="shared" si="91"/>
        <v>117408.24953816076</v>
      </c>
      <c r="Y156" s="129">
        <f t="shared" si="92"/>
        <v>5.8850465323888788</v>
      </c>
      <c r="Z156" s="132">
        <f t="shared" si="93"/>
        <v>1.2966567765387613</v>
      </c>
      <c r="AA156" s="129">
        <f>EDisponible!AZ68</f>
        <v>121690.43646174285</v>
      </c>
      <c r="AB156" s="129">
        <f t="shared" si="94"/>
        <v>119696.98401591173</v>
      </c>
      <c r="AC156" s="129">
        <f t="shared" si="95"/>
        <v>0.36088279472259488</v>
      </c>
      <c r="AD156" s="132">
        <f t="shared" si="96"/>
        <v>7.9527106761068472E-2</v>
      </c>
      <c r="AE156" s="129">
        <f>EDisponible!BF68</f>
        <v>97943.033631259706</v>
      </c>
      <c r="AF156" s="129">
        <f t="shared" si="97"/>
        <v>130394.23012948554</v>
      </c>
      <c r="AG156" s="129">
        <f t="shared" si="98"/>
        <v>-5.8747719359260548</v>
      </c>
      <c r="AH156" s="132">
        <f t="shared" si="99"/>
        <v>-1.2943937377413903</v>
      </c>
    </row>
    <row r="157" spans="1:34">
      <c r="A157" s="125">
        <v>265</v>
      </c>
      <c r="B157" s="126"/>
      <c r="C157" s="129">
        <f>EDisponible!P69</f>
        <v>274657.37993899314</v>
      </c>
      <c r="D157" s="129">
        <f t="shared" si="76"/>
        <v>211823.91595998136</v>
      </c>
      <c r="E157" s="129">
        <f t="shared" si="77"/>
        <v>11.593747193798393</v>
      </c>
      <c r="F157" s="132">
        <f t="shared" si="78"/>
        <v>2.5050922616702787</v>
      </c>
      <c r="G157" s="129">
        <f>EDisponible!V69</f>
        <v>256087.03126003058</v>
      </c>
      <c r="H157" s="129">
        <f t="shared" si="79"/>
        <v>185441.67718141153</v>
      </c>
      <c r="I157" s="129">
        <f t="shared" si="80"/>
        <v>13.035161898402867</v>
      </c>
      <c r="J157" s="132">
        <f t="shared" si="81"/>
        <v>2.8160689477266825</v>
      </c>
      <c r="K157" s="129">
        <f>EDisponible!AB69</f>
        <v>235078.30862631954</v>
      </c>
      <c r="L157" s="129">
        <f t="shared" si="82"/>
        <v>162348.52317752436</v>
      </c>
      <c r="M157" s="129">
        <f t="shared" si="83"/>
        <v>13.41977176738474</v>
      </c>
      <c r="N157" s="132">
        <f t="shared" si="84"/>
        <v>2.8990189507763868</v>
      </c>
      <c r="O157" s="129">
        <f>EDisponible!AH69</f>
        <v>212724.80839919843</v>
      </c>
      <c r="P157" s="129">
        <f t="shared" si="85"/>
        <v>144783.41328986859</v>
      </c>
      <c r="Q157" s="129">
        <f t="shared" si="86"/>
        <v>12.536239592880856</v>
      </c>
      <c r="R157" s="132">
        <f t="shared" si="87"/>
        <v>2.7084472721689248</v>
      </c>
      <c r="S157" s="129">
        <f>EDisponible!AN69</f>
        <v>184797.69348021675</v>
      </c>
      <c r="T157" s="129">
        <f t="shared" si="88"/>
        <v>135901.89141181658</v>
      </c>
      <c r="U157" s="129">
        <f t="shared" si="89"/>
        <v>9.02203272142361</v>
      </c>
      <c r="V157" s="132">
        <f t="shared" si="90"/>
        <v>1.9499049651540399</v>
      </c>
      <c r="W157" s="129">
        <f>EDisponible!AT69</f>
        <v>151253.03016436525</v>
      </c>
      <c r="X157" s="129">
        <f t="shared" si="91"/>
        <v>136536.34934917183</v>
      </c>
      <c r="Y157" s="129">
        <f t="shared" si="92"/>
        <v>2.7154555247848182</v>
      </c>
      <c r="Z157" s="132">
        <f t="shared" si="93"/>
        <v>0.58708941837482087</v>
      </c>
      <c r="AA157" s="129">
        <f>EDisponible!AZ69</f>
        <v>122832.68020263124</v>
      </c>
      <c r="AB157" s="129">
        <f t="shared" si="94"/>
        <v>146405.37559810755</v>
      </c>
      <c r="AC157" s="129">
        <f t="shared" si="95"/>
        <v>-4.3495273662272806</v>
      </c>
      <c r="AD157" s="132">
        <f t="shared" si="96"/>
        <v>-0.94032900312308643</v>
      </c>
      <c r="AE157" s="129">
        <f>EDisponible!BF69</f>
        <v>98911.925289896302</v>
      </c>
      <c r="AF157" s="129">
        <f t="shared" si="97"/>
        <v>164595.26441455746</v>
      </c>
      <c r="AG157" s="129">
        <f t="shared" si="98"/>
        <v>-12.119593293634377</v>
      </c>
      <c r="AH157" s="132">
        <f t="shared" si="99"/>
        <v>-2.6185585233897646</v>
      </c>
    </row>
    <row r="158" spans="1:34">
      <c r="A158" s="125">
        <v>270</v>
      </c>
      <c r="B158" s="126"/>
      <c r="C158" s="129">
        <f>EDisponible!P70</f>
        <v>272331.49854289211</v>
      </c>
      <c r="D158" s="129">
        <f t="shared" si="76"/>
        <v>219267.69703879076</v>
      </c>
      <c r="E158" s="129">
        <f t="shared" si="77"/>
        <v>9.9758307732208937</v>
      </c>
      <c r="F158" s="132">
        <f t="shared" si="78"/>
        <v>2.1159745363488076</v>
      </c>
      <c r="G158" s="129">
        <f>EDisponible!V70</f>
        <v>254415.20860573874</v>
      </c>
      <c r="H158" s="129">
        <f t="shared" si="79"/>
        <v>191861.11923055144</v>
      </c>
      <c r="I158" s="129">
        <f t="shared" si="80"/>
        <v>11.759975578296475</v>
      </c>
      <c r="J158" s="132">
        <f t="shared" si="81"/>
        <v>2.4939680378550069</v>
      </c>
      <c r="K158" s="129">
        <f>EDisponible!AB70</f>
        <v>233938.69712150196</v>
      </c>
      <c r="L158" s="129">
        <f t="shared" si="82"/>
        <v>170791.28624053838</v>
      </c>
      <c r="M158" s="129">
        <f t="shared" si="83"/>
        <v>11.871518188662966</v>
      </c>
      <c r="N158" s="132">
        <f t="shared" si="84"/>
        <v>2.5175928703270798</v>
      </c>
      <c r="O158" s="129">
        <f>EDisponible!AH70</f>
        <v>212011.30231877591</v>
      </c>
      <c r="P158" s="129">
        <f t="shared" si="85"/>
        <v>159409.41111084641</v>
      </c>
      <c r="Q158" s="129">
        <f t="shared" si="86"/>
        <v>9.8889930643420367</v>
      </c>
      <c r="R158" s="132">
        <f t="shared" si="87"/>
        <v>2.09757190593559</v>
      </c>
      <c r="S158" s="129">
        <f>EDisponible!AN70</f>
        <v>186410.24235112834</v>
      </c>
      <c r="T158" s="129">
        <f t="shared" si="88"/>
        <v>158581.26556473071</v>
      </c>
      <c r="U158" s="129">
        <f t="shared" si="89"/>
        <v>5.2317616745106008</v>
      </c>
      <c r="V158" s="132">
        <f t="shared" si="90"/>
        <v>1.1100753915379826</v>
      </c>
      <c r="W158" s="129">
        <f>EDisponible!AT70</f>
        <v>152639.57432077656</v>
      </c>
      <c r="X158" s="129">
        <f t="shared" si="91"/>
        <v>167982.91522725826</v>
      </c>
      <c r="Y158" s="129">
        <f t="shared" si="92"/>
        <v>-2.8845006961491202</v>
      </c>
      <c r="Z158" s="132">
        <f t="shared" si="93"/>
        <v>-0.61208677299841507</v>
      </c>
      <c r="AA158" s="129">
        <f>EDisponible!AZ70</f>
        <v>124016.91907644203</v>
      </c>
      <c r="AB158" s="129">
        <f t="shared" si="94"/>
        <v>186590.29857411666</v>
      </c>
      <c r="AC158" s="129">
        <f t="shared" si="95"/>
        <v>-11.763602061738554</v>
      </c>
      <c r="AD158" s="132">
        <f t="shared" si="96"/>
        <v>-2.4947361439358442</v>
      </c>
      <c r="AE158" s="129">
        <f>EDisponible!BF70</f>
        <v>99916.059170334993</v>
      </c>
      <c r="AF158" s="129">
        <f t="shared" si="97"/>
        <v>212958.32456145424</v>
      </c>
      <c r="AG158" s="129">
        <f t="shared" si="98"/>
        <v>-21.251596715628647</v>
      </c>
      <c r="AH158" s="132">
        <f t="shared" si="99"/>
        <v>-4.5004504559378882</v>
      </c>
    </row>
    <row r="159" spans="1:34">
      <c r="A159" s="125">
        <v>275</v>
      </c>
      <c r="B159" s="126"/>
      <c r="C159" s="129">
        <f>EDisponible!P71</f>
        <v>269928.35268500034</v>
      </c>
      <c r="D159" s="129">
        <f t="shared" si="76"/>
        <v>227029.61516472284</v>
      </c>
      <c r="E159" s="129">
        <f t="shared" si="77"/>
        <v>8.2141788496333312</v>
      </c>
      <c r="F159" s="132">
        <f t="shared" si="78"/>
        <v>1.7109014080993332</v>
      </c>
      <c r="G159" s="129">
        <f>EDisponible!V71</f>
        <v>252685.74489656027</v>
      </c>
      <c r="H159" s="129">
        <f t="shared" si="79"/>
        <v>202292.11404054848</v>
      </c>
      <c r="I159" s="129">
        <f t="shared" si="80"/>
        <v>9.6492885492963101</v>
      </c>
      <c r="J159" s="132">
        <f t="shared" si="81"/>
        <v>2.009588302678754</v>
      </c>
      <c r="K159" s="129">
        <f>EDisponible!AB71</f>
        <v>232757.50861677658</v>
      </c>
      <c r="L159" s="129">
        <f t="shared" si="82"/>
        <v>188425.60347162982</v>
      </c>
      <c r="M159" s="129">
        <f t="shared" si="83"/>
        <v>8.4885994007419932</v>
      </c>
      <c r="N159" s="132">
        <f t="shared" si="84"/>
        <v>1.7680237741914897</v>
      </c>
      <c r="O159" s="129">
        <f>EDisponible!AH71</f>
        <v>211269.20037138966</v>
      </c>
      <c r="P159" s="129">
        <f t="shared" si="85"/>
        <v>186311.223110894</v>
      </c>
      <c r="Q159" s="129">
        <f t="shared" si="86"/>
        <v>4.7789119399117199</v>
      </c>
      <c r="R159" s="132">
        <f t="shared" si="87"/>
        <v>0.99557791647728278</v>
      </c>
      <c r="S159" s="129">
        <f>EDisponible!AN71</f>
        <v>188081.67253590858</v>
      </c>
      <c r="T159" s="129">
        <f t="shared" si="88"/>
        <v>195579.19859544456</v>
      </c>
      <c r="U159" s="129">
        <f t="shared" si="89"/>
        <v>-1.4356138092340005</v>
      </c>
      <c r="V159" s="132">
        <f t="shared" si="90"/>
        <v>-0.29910496389587282</v>
      </c>
      <c r="W159" s="129">
        <f>EDisponible!AT71</f>
        <v>154076.18950659374</v>
      </c>
      <c r="X159" s="129">
        <f t="shared" si="91"/>
        <v>215101.30504482458</v>
      </c>
      <c r="Y159" s="129">
        <f t="shared" si="92"/>
        <v>-11.684987538703764</v>
      </c>
      <c r="Z159" s="132">
        <f t="shared" si="93"/>
        <v>-2.4330835773125532</v>
      </c>
      <c r="AA159" s="129">
        <f>EDisponible!AZ71</f>
        <v>125243.48079138687</v>
      </c>
      <c r="AB159" s="129">
        <f t="shared" si="94"/>
        <v>243273.71420090797</v>
      </c>
      <c r="AC159" s="129">
        <f t="shared" si="95"/>
        <v>-22.600232615971446</v>
      </c>
      <c r="AD159" s="132">
        <f t="shared" si="96"/>
        <v>-4.6981616698877273</v>
      </c>
      <c r="AE159" s="129">
        <f>EDisponible!BF71</f>
        <v>100955.73387471512</v>
      </c>
      <c r="AF159" s="129">
        <f t="shared" si="97"/>
        <v>278220.06279771216</v>
      </c>
      <c r="AG159" s="129">
        <f t="shared" si="98"/>
        <v>-33.942278621730161</v>
      </c>
      <c r="AH159" s="132">
        <f t="shared" si="99"/>
        <v>-7.0362294932279807</v>
      </c>
    </row>
    <row r="160" spans="1:34">
      <c r="A160" s="125">
        <v>280</v>
      </c>
      <c r="B160" s="126"/>
      <c r="C160" s="129">
        <f>EDisponible!P72</f>
        <v>267442.05221162044</v>
      </c>
      <c r="D160" s="129">
        <f t="shared" si="76"/>
        <v>239915.92445646875</v>
      </c>
      <c r="E160" s="129">
        <f t="shared" si="77"/>
        <v>5.3664872510782313</v>
      </c>
      <c r="F160" s="132">
        <f t="shared" si="78"/>
        <v>1.0979979621597249</v>
      </c>
      <c r="G160" s="129">
        <f>EDisponible!V72</f>
        <v>250893.60368409174</v>
      </c>
      <c r="H160" s="129">
        <f t="shared" si="79"/>
        <v>223590.60800560098</v>
      </c>
      <c r="I160" s="129">
        <f t="shared" si="80"/>
        <v>5.3229854750435193</v>
      </c>
      <c r="J160" s="132">
        <f t="shared" si="81"/>
        <v>1.0890995324239308</v>
      </c>
      <c r="K160" s="129">
        <f>EDisponible!AB72</f>
        <v>231530.46685831877</v>
      </c>
      <c r="L160" s="129">
        <f t="shared" si="82"/>
        <v>220378.00629051746</v>
      </c>
      <c r="M160" s="129">
        <f t="shared" si="83"/>
        <v>2.1742810317392807</v>
      </c>
      <c r="N160" s="132">
        <f t="shared" si="84"/>
        <v>0.44490936677145149</v>
      </c>
      <c r="O160" s="129">
        <f>EDisponible!AH72</f>
        <v>210494.89958143531</v>
      </c>
      <c r="P160" s="129">
        <f t="shared" si="85"/>
        <v>229852.44098652556</v>
      </c>
      <c r="Q160" s="129">
        <f t="shared" si="86"/>
        <v>-3.7739416196378599</v>
      </c>
      <c r="R160" s="132">
        <f t="shared" si="87"/>
        <v>-0.77220655144982853</v>
      </c>
      <c r="S160" s="129">
        <f>EDisponible!AN72</f>
        <v>188722.16304514927</v>
      </c>
      <c r="T160" s="129">
        <f t="shared" si="88"/>
        <v>250779.60177252858</v>
      </c>
      <c r="U160" s="129">
        <f t="shared" si="89"/>
        <v>-12.098703338420743</v>
      </c>
      <c r="V160" s="132">
        <f t="shared" si="90"/>
        <v>-2.4741917857578444</v>
      </c>
      <c r="W160" s="129">
        <f>EDisponible!AT72</f>
        <v>155563.25580790994</v>
      </c>
      <c r="X160" s="129">
        <f t="shared" si="91"/>
        <v>281402.58042243129</v>
      </c>
      <c r="Y160" s="129">
        <f t="shared" si="92"/>
        <v>-24.533604480627844</v>
      </c>
      <c r="Z160" s="132">
        <f t="shared" si="93"/>
        <v>-5.0074686893134164</v>
      </c>
      <c r="AA160" s="129">
        <f>EDisponible!AZ72</f>
        <v>126512.71328144173</v>
      </c>
      <c r="AB160" s="129">
        <f t="shared" si="94"/>
        <v>319646.29789694725</v>
      </c>
      <c r="AC160" s="129">
        <f t="shared" si="95"/>
        <v>-37.653277235849906</v>
      </c>
      <c r="AD160" s="132">
        <f t="shared" si="96"/>
        <v>-7.6589595551453495</v>
      </c>
      <c r="AE160" s="129">
        <f>EDisponible!BF72</f>
        <v>102031.26482436834</v>
      </c>
      <c r="AF160" s="129">
        <f t="shared" si="97"/>
        <v>363280.84170090745</v>
      </c>
      <c r="AG160" s="129">
        <f t="shared" si="98"/>
        <v>-50.933154714983033</v>
      </c>
      <c r="AH160" s="132">
        <f t="shared" si="99"/>
        <v>-10.309612947987082</v>
      </c>
    </row>
    <row r="161" spans="1:34">
      <c r="A161" s="125">
        <v>285</v>
      </c>
      <c r="B161" s="126"/>
      <c r="C161" s="129">
        <f>EDisponible!P73</f>
        <v>264866.52958861901</v>
      </c>
      <c r="D161" s="129">
        <f t="shared" si="76"/>
        <v>265692.51572735322</v>
      </c>
      <c r="E161" s="129">
        <f t="shared" si="77"/>
        <v>-0.16390966727481562</v>
      </c>
      <c r="F161" s="132">
        <f t="shared" si="78"/>
        <v>-3.295203902034987E-2</v>
      </c>
      <c r="G161" s="129">
        <f>EDisponible!V73</f>
        <v>249033.59468736945</v>
      </c>
      <c r="H161" s="129">
        <f t="shared" si="79"/>
        <v>261604.90535436355</v>
      </c>
      <c r="I161" s="129">
        <f t="shared" si="80"/>
        <v>-2.4946657722284149</v>
      </c>
      <c r="J161" s="132">
        <f t="shared" si="81"/>
        <v>-0.5015093675172464</v>
      </c>
      <c r="K161" s="129">
        <f>EDisponible!AB73</f>
        <v>230253.16276115685</v>
      </c>
      <c r="L161" s="129">
        <f t="shared" si="82"/>
        <v>271660.04231841885</v>
      </c>
      <c r="M161" s="129">
        <f t="shared" si="83"/>
        <v>-8.2168302019207768</v>
      </c>
      <c r="N161" s="132">
        <f t="shared" si="84"/>
        <v>-1.6514361839220466</v>
      </c>
      <c r="O161" s="129">
        <f>EDisponible!AH73</f>
        <v>209684.68280877228</v>
      </c>
      <c r="P161" s="129">
        <f t="shared" si="85"/>
        <v>294509.59752993821</v>
      </c>
      <c r="Q161" s="129">
        <f t="shared" si="86"/>
        <v>-16.83275650347796</v>
      </c>
      <c r="R161" s="132">
        <f t="shared" si="87"/>
        <v>-3.3800940460638289</v>
      </c>
      <c r="S161" s="129">
        <f>EDisponible!AN73</f>
        <v>188279.2078179649</v>
      </c>
      <c r="T161" s="129">
        <f t="shared" si="88"/>
        <v>328241.78255112196</v>
      </c>
      <c r="U161" s="129">
        <f t="shared" si="89"/>
        <v>-27.774339035028817</v>
      </c>
      <c r="V161" s="132">
        <f t="shared" si="90"/>
        <v>-5.5661161298217792</v>
      </c>
      <c r="W161" s="129">
        <f>EDisponible!AT73</f>
        <v>157101.17657606371</v>
      </c>
      <c r="X161" s="129">
        <f t="shared" si="91"/>
        <v>370587.6534601656</v>
      </c>
      <c r="Y161" s="129">
        <f t="shared" si="92"/>
        <v>-42.364509224537763</v>
      </c>
      <c r="Z161" s="132">
        <f t="shared" si="93"/>
        <v>-8.4549577256850057</v>
      </c>
      <c r="AA161" s="129">
        <f>EDisponible!AZ73</f>
        <v>127824.98397697367</v>
      </c>
      <c r="AB161" s="129">
        <f t="shared" si="94"/>
        <v>419084.56989946967</v>
      </c>
      <c r="AC161" s="129">
        <f t="shared" si="95"/>
        <v>-57.797897059528026</v>
      </c>
      <c r="AD161" s="132">
        <f t="shared" si="96"/>
        <v>-11.464087075187322</v>
      </c>
      <c r="AE161" s="129">
        <f>EDisponible!BF73</f>
        <v>103142.98364715031</v>
      </c>
      <c r="AF161" s="129">
        <f t="shared" si="97"/>
        <v>471215.01818665274</v>
      </c>
      <c r="AG161" s="129">
        <f t="shared" si="98"/>
        <v>-73.040650303149675</v>
      </c>
      <c r="AH161" s="132">
        <f t="shared" si="99"/>
        <v>-14.374552040209517</v>
      </c>
    </row>
    <row r="162" spans="1:34">
      <c r="A162" s="125">
        <v>290</v>
      </c>
      <c r="B162" s="126"/>
      <c r="C162" s="129">
        <f>EDisponible!P74</f>
        <v>262195.53165415145</v>
      </c>
      <c r="D162" s="129">
        <f t="shared" si="76"/>
        <v>310994.62123957288</v>
      </c>
      <c r="E162" s="129">
        <f t="shared" si="77"/>
        <v>-9.853639447013224</v>
      </c>
      <c r="F162" s="132">
        <f t="shared" si="78"/>
        <v>-1.9460511576827202</v>
      </c>
      <c r="G162" s="129">
        <f>EDisponible!V74</f>
        <v>247100.3663917993</v>
      </c>
      <c r="H162" s="129">
        <f t="shared" si="79"/>
        <v>322063.22722824226</v>
      </c>
      <c r="I162" s="129">
        <f t="shared" si="80"/>
        <v>-15.136696378442448</v>
      </c>
      <c r="J162" s="132">
        <f t="shared" si="81"/>
        <v>-2.9878707445044372</v>
      </c>
      <c r="K162" s="129">
        <f>EDisponible!AB74</f>
        <v>228921.04779367952</v>
      </c>
      <c r="L162" s="129">
        <f t="shared" si="82"/>
        <v>347407.80933429801</v>
      </c>
      <c r="M162" s="129">
        <f t="shared" si="83"/>
        <v>-23.925155927791778</v>
      </c>
      <c r="N162" s="132">
        <f t="shared" si="84"/>
        <v>-4.7162518329865204</v>
      </c>
      <c r="O162" s="129">
        <f>EDisponible!AH74</f>
        <v>208834.71286032625</v>
      </c>
      <c r="P162" s="129">
        <f t="shared" si="85"/>
        <v>384954.41105108726</v>
      </c>
      <c r="Q162" s="129">
        <f t="shared" si="86"/>
        <v>-35.562548814578648</v>
      </c>
      <c r="R162" s="132">
        <f t="shared" si="87"/>
        <v>-6.9912462480036845</v>
      </c>
      <c r="S162" s="129">
        <f>EDisponible!AN74</f>
        <v>187808.65781557065</v>
      </c>
      <c r="T162" s="129">
        <f t="shared" si="88"/>
        <v>432238.12516800466</v>
      </c>
      <c r="U162" s="129">
        <f t="shared" si="89"/>
        <v>-49.355835569438817</v>
      </c>
      <c r="V162" s="132">
        <f t="shared" si="90"/>
        <v>-9.6587666444363016</v>
      </c>
      <c r="W162" s="129">
        <f>EDisponible!AT74</f>
        <v>158690.37760427091</v>
      </c>
      <c r="X162" s="129">
        <f t="shared" si="91"/>
        <v>486567.56832962768</v>
      </c>
      <c r="Y162" s="129">
        <f t="shared" si="92"/>
        <v>-66.20581752148999</v>
      </c>
      <c r="Z162" s="132">
        <f t="shared" si="93"/>
        <v>-12.859999082304471</v>
      </c>
      <c r="AA162" s="129">
        <f>EDisponible!AZ74</f>
        <v>129180.67910849898</v>
      </c>
      <c r="AB162" s="129">
        <f t="shared" si="94"/>
        <v>545163.13586053776</v>
      </c>
      <c r="AC162" s="129">
        <f t="shared" si="95"/>
        <v>-83.996262634004282</v>
      </c>
      <c r="AD162" s="132">
        <f t="shared" si="96"/>
        <v>-16.153251605405462</v>
      </c>
      <c r="AE162" s="129">
        <f>EDisponible!BF74</f>
        <v>104291.23759038826</v>
      </c>
      <c r="AF162" s="129">
        <f t="shared" si="97"/>
        <v>605279.0069835044</v>
      </c>
      <c r="AG162" s="129">
        <f t="shared" si="98"/>
        <v>-101.16075707359001</v>
      </c>
      <c r="AH162" s="132">
        <f t="shared" si="99"/>
        <v>-19.230314176621452</v>
      </c>
    </row>
    <row r="163" spans="1:34">
      <c r="A163" s="125">
        <v>295</v>
      </c>
      <c r="B163" s="126"/>
      <c r="C163" s="129">
        <f>EDisponible!P75</f>
        <v>259422.61126333397</v>
      </c>
      <c r="D163" s="129">
        <f t="shared" si="76"/>
        <v>382340.61054381012</v>
      </c>
      <c r="E163" s="129">
        <f t="shared" si="77"/>
        <v>-25.247852716856134</v>
      </c>
      <c r="F163" s="132">
        <f t="shared" si="78"/>
        <v>-4.8917924196401374</v>
      </c>
      <c r="G163" s="129">
        <f>EDisponible!V75</f>
        <v>245088.39854622984</v>
      </c>
      <c r="H163" s="129">
        <f t="shared" si="79"/>
        <v>410833.30012854486</v>
      </c>
      <c r="I163" s="129">
        <f t="shared" si="80"/>
        <v>-34.044671148375805</v>
      </c>
      <c r="J163" s="132">
        <f t="shared" si="81"/>
        <v>-6.5831348553773301</v>
      </c>
      <c r="K163" s="129">
        <f>EDisponible!AB75</f>
        <v>227529.42726655334</v>
      </c>
      <c r="L163" s="129">
        <f t="shared" si="82"/>
        <v>452974.85834812268</v>
      </c>
      <c r="M163" s="129">
        <f t="shared" si="83"/>
        <v>-46.30740064884624</v>
      </c>
      <c r="N163" s="132">
        <f t="shared" si="84"/>
        <v>-8.9211615969909186</v>
      </c>
      <c r="O163" s="129">
        <f>EDisponible!AH75</f>
        <v>207941.02651237269</v>
      </c>
      <c r="P163" s="129">
        <f t="shared" si="85"/>
        <v>506097.23622948863</v>
      </c>
      <c r="Q163" s="129">
        <f t="shared" si="86"/>
        <v>-61.242487785509397</v>
      </c>
      <c r="R163" s="132">
        <f t="shared" si="87"/>
        <v>-11.728104752673421</v>
      </c>
      <c r="S163" s="129">
        <f>EDisponible!AN75</f>
        <v>187307.19423498659</v>
      </c>
      <c r="T163" s="129">
        <f t="shared" si="88"/>
        <v>567277.7659880016</v>
      </c>
      <c r="U163" s="129">
        <f t="shared" si="89"/>
        <v>-78.047487662643121</v>
      </c>
      <c r="V163" s="132">
        <f t="shared" si="90"/>
        <v>-14.819083816142257</v>
      </c>
      <c r="W163" s="129">
        <f>EDisponible!AT75</f>
        <v>160331.30634135997</v>
      </c>
      <c r="X163" s="129">
        <f t="shared" si="91"/>
        <v>633477.89153582859</v>
      </c>
      <c r="Y163" s="129">
        <f t="shared" si="92"/>
        <v>-97.186216554135015</v>
      </c>
      <c r="Z163" s="132">
        <f t="shared" si="93"/>
        <v>-18.234198659675211</v>
      </c>
      <c r="AA163" s="129">
        <f>EDisponible!AZ75</f>
        <v>130580.20303947473</v>
      </c>
      <c r="AB163" s="129">
        <f t="shared" si="94"/>
        <v>701664.20344123908</v>
      </c>
      <c r="AC163" s="129">
        <f t="shared" si="95"/>
        <v>-117.30295656859884</v>
      </c>
      <c r="AD163" s="132">
        <f t="shared" si="96"/>
        <v>-21.684605984667897</v>
      </c>
      <c r="AE163" s="129">
        <f>EDisponible!BF75</f>
        <v>105476.3889560674</v>
      </c>
      <c r="AF163" s="129">
        <f t="shared" si="97"/>
        <v>768918.00039428868</v>
      </c>
      <c r="AG163" s="129">
        <f t="shared" si="98"/>
        <v>-136.27358230591128</v>
      </c>
      <c r="AH163" s="132">
        <f t="shared" si="99"/>
        <v>-24.794309225385589</v>
      </c>
    </row>
    <row r="164" spans="1:34">
      <c r="A164" s="125">
        <v>300</v>
      </c>
      <c r="B164" s="126"/>
      <c r="C164" s="129">
        <f>EDisponible!P76</f>
        <v>256541.1188115995</v>
      </c>
      <c r="D164" s="129">
        <f t="shared" si="76"/>
        <v>486407.3059669293</v>
      </c>
      <c r="E164" s="129">
        <f t="shared" si="77"/>
        <v>-48.015703497983282</v>
      </c>
      <c r="F164" s="132">
        <f t="shared" si="78"/>
        <v>-9.0932011824248669</v>
      </c>
      <c r="G164" s="129">
        <f>EDisponible!V76</f>
        <v>242991.99454647326</v>
      </c>
      <c r="H164" s="129">
        <f t="shared" si="79"/>
        <v>534025.44886173098</v>
      </c>
      <c r="I164" s="129">
        <f t="shared" si="80"/>
        <v>-60.792656037542251</v>
      </c>
      <c r="J164" s="132">
        <f t="shared" si="81"/>
        <v>-11.455421843697117</v>
      </c>
      <c r="K164" s="129">
        <f>EDisponible!AB76</f>
        <v>226073.45351574896</v>
      </c>
      <c r="L164" s="129">
        <f t="shared" si="82"/>
        <v>593981.53657546022</v>
      </c>
      <c r="M164" s="129">
        <f t="shared" si="83"/>
        <v>-76.850647976204101</v>
      </c>
      <c r="N164" s="132">
        <f t="shared" si="84"/>
        <v>-14.368414283999371</v>
      </c>
      <c r="O164" s="129">
        <f>EDisponible!AH76</f>
        <v>206999.5284344517</v>
      </c>
      <c r="P164" s="129">
        <f t="shared" si="85"/>
        <v>663114.33322444966</v>
      </c>
      <c r="Q164" s="129">
        <f t="shared" si="86"/>
        <v>-95.275749334276412</v>
      </c>
      <c r="R164" s="132">
        <f t="shared" si="87"/>
        <v>-17.619110606444913</v>
      </c>
      <c r="S164" s="129">
        <f>EDisponible!AN76</f>
        <v>186771.38472992275</v>
      </c>
      <c r="T164" s="129">
        <f t="shared" si="88"/>
        <v>738123.3126269565</v>
      </c>
      <c r="U164" s="129">
        <f t="shared" si="89"/>
        <v>-115.16939929514814</v>
      </c>
      <c r="V164" s="132">
        <f t="shared" si="90"/>
        <v>-21.00169598612878</v>
      </c>
      <c r="W164" s="129">
        <f>EDisponible!AT76</f>
        <v>162024.43113812877</v>
      </c>
      <c r="X164" s="129">
        <f t="shared" si="91"/>
        <v>815689.82552077284</v>
      </c>
      <c r="Y164" s="129">
        <f t="shared" si="92"/>
        <v>-136.54119447485519</v>
      </c>
      <c r="Z164" s="132">
        <f t="shared" si="93"/>
        <v>-24.472052919246732</v>
      </c>
      <c r="AA164" s="129">
        <f>EDisponible!AZ76</f>
        <v>132023.97762440742</v>
      </c>
      <c r="AB164" s="129">
        <f t="shared" si="94"/>
        <v>892585.45480158576</v>
      </c>
      <c r="AC164" s="129">
        <f t="shared" si="95"/>
        <v>-158.87023155541488</v>
      </c>
      <c r="AD164" s="132">
        <f t="shared" si="96"/>
        <v>-27.904237398003005</v>
      </c>
      <c r="AE164" s="129">
        <f>EDisponible!BF76</f>
        <v>106698.81455518684</v>
      </c>
      <c r="AF164" s="129">
        <f t="shared" si="97"/>
        <v>965771.82385763549</v>
      </c>
      <c r="AG164" s="129">
        <f t="shared" si="98"/>
        <v>-179.44785793968475</v>
      </c>
      <c r="AH164" s="132">
        <f t="shared" si="99"/>
        <v>-30.886155800748355</v>
      </c>
    </row>
    <row r="165" spans="1:34">
      <c r="A165" s="125">
        <v>305</v>
      </c>
      <c r="B165" s="126"/>
      <c r="C165" s="129">
        <f>EDisponible!P77</f>
        <v>253544.19362435659</v>
      </c>
      <c r="D165" s="129">
        <f t="shared" si="76"/>
        <v>630142.55340262491</v>
      </c>
      <c r="E165" s="129">
        <f t="shared" si="77"/>
        <v>-79.977019071243475</v>
      </c>
      <c r="F165" s="132">
        <f t="shared" si="78"/>
        <v>-14.693280013284411</v>
      </c>
      <c r="G165" s="129">
        <f>EDisponible!V77</f>
        <v>240805.27369431366</v>
      </c>
      <c r="H165" s="129">
        <f t="shared" si="79"/>
        <v>698047.83898917516</v>
      </c>
      <c r="I165" s="129">
        <f t="shared" si="80"/>
        <v>-97.103177470826694</v>
      </c>
      <c r="J165" s="132">
        <f t="shared" si="81"/>
        <v>-17.659970349054802</v>
      </c>
      <c r="K165" s="129">
        <f>EDisponible!AB77</f>
        <v>224548.11897000103</v>
      </c>
      <c r="L165" s="129">
        <f t="shared" si="82"/>
        <v>776346.00148873148</v>
      </c>
      <c r="M165" s="129">
        <f t="shared" si="83"/>
        <v>-117.18359527549613</v>
      </c>
      <c r="N165" s="132">
        <f t="shared" si="84"/>
        <v>-21.017200163494145</v>
      </c>
      <c r="O165" s="129">
        <f>EDisponible!AH77</f>
        <v>206005.985006387</v>
      </c>
      <c r="P165" s="129">
        <f t="shared" si="85"/>
        <v>861467.07582329109</v>
      </c>
      <c r="Q165" s="129">
        <f t="shared" si="86"/>
        <v>-139.19822750047624</v>
      </c>
      <c r="R165" s="132">
        <f t="shared" si="87"/>
        <v>-24.531369544370094</v>
      </c>
      <c r="S165" s="129">
        <f>EDisponible!AN77</f>
        <v>186197.67792052004</v>
      </c>
      <c r="T165" s="129">
        <f t="shared" si="88"/>
        <v>949803.69294852088</v>
      </c>
      <c r="U165" s="129">
        <f t="shared" si="89"/>
        <v>-162.16462775559535</v>
      </c>
      <c r="V165" s="132">
        <f t="shared" si="90"/>
        <v>-27.999011606916149</v>
      </c>
      <c r="W165" s="129">
        <f>EDisponible!AT77</f>
        <v>163770.24052225839</v>
      </c>
      <c r="X165" s="129">
        <f t="shared" si="91"/>
        <v>1037819.3469741398</v>
      </c>
      <c r="Y165" s="129">
        <f t="shared" si="92"/>
        <v>-185.6190826138039</v>
      </c>
      <c r="Z165" s="132">
        <f t="shared" si="93"/>
        <v>-31.324156845258941</v>
      </c>
      <c r="AA165" s="129">
        <f>EDisponible!AZ77</f>
        <v>133512.44158889103</v>
      </c>
      <c r="AB165" s="129">
        <f t="shared" si="94"/>
        <v>1122146.8640501006</v>
      </c>
      <c r="AC165" s="129">
        <f t="shared" si="95"/>
        <v>-209.95320878779509</v>
      </c>
      <c r="AD165" s="132">
        <f t="shared" si="96"/>
        <v>-34.542403555675811</v>
      </c>
      <c r="AE165" s="129">
        <f>EDisponible!BF77</f>
        <v>107958.90517848244</v>
      </c>
      <c r="AF165" s="129">
        <f t="shared" si="97"/>
        <v>1199680.2076886238</v>
      </c>
      <c r="AG165" s="129">
        <f t="shared" si="98"/>
        <v>-231.84544798002796</v>
      </c>
      <c r="AH165" s="132">
        <f t="shared" si="99"/>
        <v>-37.24024537743459</v>
      </c>
    </row>
    <row r="166" spans="1:34">
      <c r="A166" s="125">
        <v>310</v>
      </c>
      <c r="B166" s="126"/>
      <c r="C166" s="129">
        <f>EDisponible!P78</f>
        <v>250424.75520133469</v>
      </c>
      <c r="D166" s="129">
        <f t="shared" si="76"/>
        <v>820826.26460013574</v>
      </c>
      <c r="E166" s="129">
        <f t="shared" si="77"/>
        <v>-123.12019915587041</v>
      </c>
      <c r="F166" s="132">
        <f t="shared" si="78"/>
        <v>-21.661092036498086</v>
      </c>
      <c r="G166" s="129">
        <f>EDisponible!V78</f>
        <v>238522.16332169148</v>
      </c>
      <c r="H166" s="129">
        <f t="shared" si="79"/>
        <v>909641.33525400597</v>
      </c>
      <c r="I166" s="129">
        <f t="shared" si="80"/>
        <v>-144.85993592955083</v>
      </c>
      <c r="J166" s="132">
        <f t="shared" si="81"/>
        <v>-25.046219415286085</v>
      </c>
      <c r="K166" s="129">
        <f>EDisponible!AB78</f>
        <v>222948.24909356178</v>
      </c>
      <c r="L166" s="129">
        <f t="shared" si="82"/>
        <v>1006306.0551703502</v>
      </c>
      <c r="M166" s="129">
        <f t="shared" si="83"/>
        <v>-169.0864549011003</v>
      </c>
      <c r="N166" s="132">
        <f t="shared" si="84"/>
        <v>-28.609825185873554</v>
      </c>
      <c r="O166" s="129">
        <f>EDisponible!AH78</f>
        <v>204956.01802032415</v>
      </c>
      <c r="P166" s="129">
        <f t="shared" si="85"/>
        <v>1106916.6655006951</v>
      </c>
      <c r="Q166" s="129">
        <f t="shared" si="86"/>
        <v>-194.68667722423547</v>
      </c>
      <c r="R166" s="132">
        <f t="shared" si="87"/>
        <v>-32.129706017271779</v>
      </c>
      <c r="S166" s="129">
        <f>EDisponible!AN78</f>
        <v>185582.39779743165</v>
      </c>
      <c r="T166" s="129">
        <f t="shared" si="88"/>
        <v>1207624.6705912077</v>
      </c>
      <c r="U166" s="129">
        <f t="shared" si="89"/>
        <v>-220.60609254824078</v>
      </c>
      <c r="V166" s="132">
        <f t="shared" si="90"/>
        <v>-35.436893016641804</v>
      </c>
      <c r="W166" s="129">
        <f>EDisponible!AT78</f>
        <v>165569.24249807026</v>
      </c>
      <c r="X166" s="129">
        <f t="shared" si="91"/>
        <v>1304735.0789967102</v>
      </c>
      <c r="Y166" s="129">
        <f t="shared" si="92"/>
        <v>-245.88701528700949</v>
      </c>
      <c r="Z166" s="132">
        <f t="shared" si="93"/>
        <v>-38.420885601781961</v>
      </c>
      <c r="AA166" s="129">
        <f>EDisponible!AZ78</f>
        <v>135046.04992848376</v>
      </c>
      <c r="AB166" s="129">
        <f t="shared" si="94"/>
        <v>1394796.8034687296</v>
      </c>
      <c r="AC166" s="129">
        <f t="shared" si="95"/>
        <v>-271.91506527762863</v>
      </c>
      <c r="AD166" s="132">
        <f t="shared" si="96"/>
        <v>-41.25547002560419</v>
      </c>
      <c r="AE166" s="129">
        <f>EDisponible!BF78</f>
        <v>109257.06508094979</v>
      </c>
      <c r="AF166" s="129">
        <f t="shared" si="97"/>
        <v>1474687.6477988961</v>
      </c>
      <c r="AG166" s="129">
        <f t="shared" si="98"/>
        <v>-294.72587731217368</v>
      </c>
      <c r="AH166" s="132">
        <f t="shared" si="99"/>
        <v>-43.55313495432106</v>
      </c>
    </row>
    <row r="167" spans="1:34">
      <c r="A167" s="125">
        <v>315</v>
      </c>
      <c r="B167" s="126"/>
      <c r="C167" s="129">
        <f>EDisponible!P79</f>
        <v>247175.49430466082</v>
      </c>
      <c r="D167" s="129">
        <f t="shared" si="76"/>
        <v>1066109.1677547786</v>
      </c>
      <c r="E167" s="129">
        <f t="shared" si="77"/>
        <v>-179.61650115786748</v>
      </c>
      <c r="F167" s="132">
        <f t="shared" si="78"/>
        <v>-29.692269085190095</v>
      </c>
      <c r="G167" s="129">
        <f>EDisponible!V79</f>
        <v>236136.39077031068</v>
      </c>
      <c r="H167" s="129">
        <f t="shared" si="79"/>
        <v>1175904.0737320296</v>
      </c>
      <c r="I167" s="129">
        <f t="shared" si="80"/>
        <v>-206.11899179048925</v>
      </c>
      <c r="J167" s="132">
        <f t="shared" si="81"/>
        <v>-33.198569485935053</v>
      </c>
      <c r="K167" s="129">
        <f>EDisponible!AB79</f>
        <v>221268.49519557614</v>
      </c>
      <c r="L167" s="129">
        <f t="shared" si="82"/>
        <v>1290435.8417629183</v>
      </c>
      <c r="M167" s="129">
        <f t="shared" si="83"/>
        <v>-234.50018501939701</v>
      </c>
      <c r="N167" s="132">
        <f t="shared" si="84"/>
        <v>-36.665657135887827</v>
      </c>
      <c r="O167" s="129">
        <f>EDisponible!AH79</f>
        <v>203845.09826009371</v>
      </c>
      <c r="P167" s="129">
        <f t="shared" si="85"/>
        <v>1405536.1317569045</v>
      </c>
      <c r="Q167" s="129">
        <f t="shared" si="86"/>
        <v>-263.56656943918688</v>
      </c>
      <c r="R167" s="132">
        <f t="shared" si="87"/>
        <v>-39.919872271783873</v>
      </c>
      <c r="S167" s="129">
        <f>EDisponible!AN79</f>
        <v>184921.73801343027</v>
      </c>
      <c r="T167" s="129">
        <f t="shared" si="88"/>
        <v>1517177.864806015</v>
      </c>
      <c r="U167" s="129">
        <f t="shared" si="89"/>
        <v>-292.20337604690286</v>
      </c>
      <c r="V167" s="132">
        <f t="shared" si="90"/>
        <v>-42.849917793801708</v>
      </c>
      <c r="W167" s="129">
        <f>EDisponible!AT79</f>
        <v>165359.44330506778</v>
      </c>
      <c r="X167" s="129">
        <f t="shared" si="91"/>
        <v>1621565.3107604012</v>
      </c>
      <c r="Y167" s="129">
        <f t="shared" si="92"/>
        <v>-319.38923915041102</v>
      </c>
      <c r="Z167" s="132">
        <f t="shared" si="93"/>
        <v>-45.396414141816102</v>
      </c>
      <c r="AA167" s="129">
        <f>EDisponible!AZ79</f>
        <v>136625.27332358493</v>
      </c>
      <c r="AB167" s="129">
        <f t="shared" si="94"/>
        <v>1715217.650136516</v>
      </c>
      <c r="AC167" s="129">
        <f t="shared" si="95"/>
        <v>-346.23223915445874</v>
      </c>
      <c r="AD167" s="132">
        <f t="shared" si="96"/>
        <v>-47.704263936111396</v>
      </c>
      <c r="AE167" s="129">
        <f>EDisponible!BF79</f>
        <v>110593.71147780943</v>
      </c>
      <c r="AF167" s="129">
        <f t="shared" si="97"/>
        <v>1795047.9665487425</v>
      </c>
      <c r="AG167" s="129">
        <f t="shared" si="98"/>
        <v>-369.45089628769807</v>
      </c>
      <c r="AH167" s="132">
        <f t="shared" si="99"/>
        <v>-49.548536409024869</v>
      </c>
    </row>
    <row r="168" spans="1:34">
      <c r="A168" s="125">
        <v>320</v>
      </c>
      <c r="B168" s="126"/>
      <c r="C168" s="129">
        <f>EDisponible!P80</f>
        <v>243788.86388028748</v>
      </c>
      <c r="D168" s="129">
        <f t="shared" si="76"/>
        <v>1374040.2022337744</v>
      </c>
      <c r="E168" s="129">
        <f t="shared" si="77"/>
        <v>-251.83260487184236</v>
      </c>
      <c r="F168" s="132">
        <f t="shared" si="78"/>
        <v>-38.201927911142761</v>
      </c>
      <c r="G168" s="129">
        <f>EDisponible!V80</f>
        <v>233641.47521738583</v>
      </c>
      <c r="H168" s="129">
        <f t="shared" si="79"/>
        <v>1504310.2476918558</v>
      </c>
      <c r="I168" s="129">
        <f t="shared" si="80"/>
        <v>-283.11917539306921</v>
      </c>
      <c r="J168" s="132">
        <f t="shared" si="81"/>
        <v>-41.500712149917447</v>
      </c>
      <c r="K168" s="129">
        <f>EDisponible!AB80</f>
        <v>219503.32709780298</v>
      </c>
      <c r="L168" s="129">
        <f t="shared" si="82"/>
        <v>1635659.4346174465</v>
      </c>
      <c r="M168" s="129">
        <f t="shared" si="83"/>
        <v>-315.53537638926736</v>
      </c>
      <c r="N168" s="132">
        <f t="shared" si="84"/>
        <v>-44.597504888586755</v>
      </c>
      <c r="O168" s="129">
        <f>EDisponible!AH80</f>
        <v>202668.53895053599</v>
      </c>
      <c r="P168" s="129">
        <f t="shared" si="85"/>
        <v>1763720.5912808413</v>
      </c>
      <c r="Q168" s="129">
        <f t="shared" si="86"/>
        <v>-347.8198090449211</v>
      </c>
      <c r="R168" s="132">
        <f t="shared" si="87"/>
        <v>-47.385428751963737</v>
      </c>
      <c r="S168" s="129">
        <f>EDisponible!AN80</f>
        <v>184211.75605600036</v>
      </c>
      <c r="T168" s="129">
        <f t="shared" si="88"/>
        <v>1884348.7635379974</v>
      </c>
      <c r="U168" s="129">
        <f t="shared" si="89"/>
        <v>-378.80948838948063</v>
      </c>
      <c r="V168" s="132">
        <f t="shared" si="90"/>
        <v>-49.810487591622454</v>
      </c>
      <c r="W168" s="129">
        <f>EDisponible!AT80</f>
        <v>165011.45489078524</v>
      </c>
      <c r="X168" s="129">
        <f t="shared" si="91"/>
        <v>1993704.4191708171</v>
      </c>
      <c r="Y168" s="129">
        <f t="shared" si="92"/>
        <v>-407.45318946167174</v>
      </c>
      <c r="Z168" s="132">
        <f t="shared" si="93"/>
        <v>-51.855103495926805</v>
      </c>
      <c r="AA168" s="129">
        <f>EDisponible!AZ80</f>
        <v>138250.59756770747</v>
      </c>
      <c r="AB168" s="129">
        <f t="shared" si="94"/>
        <v>2088331.0289463485</v>
      </c>
      <c r="AC168" s="129">
        <f t="shared" si="95"/>
        <v>-434.49967107236387</v>
      </c>
      <c r="AD168" s="132">
        <f t="shared" si="96"/>
        <v>-53.629124182223094</v>
      </c>
      <c r="AE168" s="129">
        <f>EDisponible!BF80</f>
        <v>111969.274049738</v>
      </c>
      <c r="AF168" s="129">
        <f t="shared" si="97"/>
        <v>2165228.6478259666</v>
      </c>
      <c r="AG168" s="129">
        <f t="shared" si="98"/>
        <v>-457.48909028398691</v>
      </c>
      <c r="AH168" s="132">
        <f t="shared" si="99"/>
        <v>-55.02835633866335</v>
      </c>
    </row>
    <row r="169" spans="1:34">
      <c r="A169" s="125">
        <v>325</v>
      </c>
      <c r="B169" s="126"/>
      <c r="C169" s="129">
        <f>EDisponible!P81</f>
        <v>240257.0698028811</v>
      </c>
      <c r="D169" s="129">
        <f t="shared" si="76"/>
        <v>1753087.4832795882</v>
      </c>
      <c r="E169" s="129">
        <f t="shared" si="77"/>
        <v>-342.34229458204516</v>
      </c>
      <c r="F169" s="132">
        <f t="shared" si="78"/>
        <v>-46.488616422232411</v>
      </c>
      <c r="G169" s="129">
        <f>EDisponible!V81</f>
        <v>231030.71933867698</v>
      </c>
      <c r="H169" s="129">
        <f t="shared" si="79"/>
        <v>1902725.3765115754</v>
      </c>
      <c r="I169" s="129">
        <f t="shared" si="80"/>
        <v>-378.29209386523672</v>
      </c>
      <c r="J169" s="132">
        <f t="shared" si="81"/>
        <v>-49.333317592524367</v>
      </c>
      <c r="K169" s="129">
        <f>EDisponible!AB81</f>
        <v>217647.02565276122</v>
      </c>
      <c r="L169" s="129">
        <f t="shared" si="82"/>
        <v>2049262.4238602356</v>
      </c>
      <c r="M169" s="129">
        <f t="shared" si="83"/>
        <v>-414.48097065494881</v>
      </c>
      <c r="N169" s="132">
        <f t="shared" si="84"/>
        <v>-51.899537279231701</v>
      </c>
      <c r="O169" s="129">
        <f>EDisponible!AH81</f>
        <v>201421.48906970941</v>
      </c>
      <c r="P169" s="129">
        <f t="shared" si="85"/>
        <v>2188196.3344471105</v>
      </c>
      <c r="Q169" s="129">
        <f t="shared" si="86"/>
        <v>-449.59240198065982</v>
      </c>
      <c r="R169" s="132">
        <f t="shared" si="87"/>
        <v>-54.137699726123522</v>
      </c>
      <c r="S169" s="129">
        <f>EDisponible!AN81</f>
        <v>183448.36729461217</v>
      </c>
      <c r="T169" s="129">
        <f t="shared" si="88"/>
        <v>2315324.0307380375</v>
      </c>
      <c r="U169" s="129">
        <f t="shared" si="89"/>
        <v>-482.42764019370975</v>
      </c>
      <c r="V169" s="132">
        <f t="shared" si="90"/>
        <v>-56.032790520840202</v>
      </c>
      <c r="W169" s="129">
        <f>EDisponible!AT81</f>
        <v>164624.04513171015</v>
      </c>
      <c r="X169" s="129">
        <f t="shared" si="91"/>
        <v>2426818.8560446426</v>
      </c>
      <c r="Y169" s="129">
        <f t="shared" si="92"/>
        <v>-511.91789605798607</v>
      </c>
      <c r="Z169" s="132">
        <f t="shared" si="93"/>
        <v>-57.589865950167507</v>
      </c>
      <c r="AA169" s="129">
        <f>EDisponible!AZ81</f>
        <v>139922.52300673528</v>
      </c>
      <c r="AB169" s="129">
        <f t="shared" si="94"/>
        <v>2519302.7826010487</v>
      </c>
      <c r="AC169" s="129">
        <f t="shared" si="95"/>
        <v>-538.43609336274176</v>
      </c>
      <c r="AD169" s="132">
        <f t="shared" si="96"/>
        <v>-58.884821044248611</v>
      </c>
      <c r="AE169" s="129">
        <f>EDisponible!BF81</f>
        <v>113384.19445535092</v>
      </c>
      <c r="AF169" s="129">
        <f t="shared" si="97"/>
        <v>2589914.9972681166</v>
      </c>
      <c r="AG169" s="129">
        <f t="shared" si="98"/>
        <v>-560.42054025713207</v>
      </c>
      <c r="AH169" s="132">
        <f t="shared" si="99"/>
        <v>-59.889626417131517</v>
      </c>
    </row>
    <row r="170" spans="1:34">
      <c r="A170" s="125">
        <v>330</v>
      </c>
      <c r="B170" s="126"/>
      <c r="C170" s="129">
        <f>EDisponible!P82</f>
        <v>236572.06143471462</v>
      </c>
      <c r="D170" s="129">
        <f t="shared" si="76"/>
        <v>2212155.3395441738</v>
      </c>
      <c r="E170" s="129">
        <f t="shared" si="77"/>
        <v>-453.93767696027146</v>
      </c>
      <c r="F170" s="132">
        <f t="shared" si="78"/>
        <v>-53.98389626471576</v>
      </c>
      <c r="G170" s="129">
        <f>EDisponible!V82</f>
        <v>228297.20080030622</v>
      </c>
      <c r="H170" s="129">
        <f t="shared" si="79"/>
        <v>2379419.3070914787</v>
      </c>
      <c r="I170" s="129">
        <f t="shared" si="80"/>
        <v>-494.27193609481367</v>
      </c>
      <c r="J170" s="132">
        <f t="shared" si="81"/>
        <v>-56.270997739265354</v>
      </c>
      <c r="K170" s="129">
        <f>EDisponible!AB82</f>
        <v>215693.67510467014</v>
      </c>
      <c r="L170" s="129">
        <f t="shared" si="82"/>
        <v>2538902.1553915711</v>
      </c>
      <c r="M170" s="129">
        <f t="shared" si="83"/>
        <v>-533.81291101280908</v>
      </c>
      <c r="N170" s="132">
        <f t="shared" si="84"/>
        <v>-58.27588729887308</v>
      </c>
      <c r="O170" s="129">
        <f>EDisponible!AH82</f>
        <v>200098.92651715546</v>
      </c>
      <c r="P170" s="129">
        <f t="shared" si="85"/>
        <v>2686029.0896065687</v>
      </c>
      <c r="Q170" s="129">
        <f t="shared" si="86"/>
        <v>-571.20212335374595</v>
      </c>
      <c r="R170" s="132">
        <f t="shared" si="87"/>
        <v>-59.983730281945093</v>
      </c>
      <c r="S170" s="129">
        <f>EDisponible!AN82</f>
        <v>182627.33889657291</v>
      </c>
      <c r="T170" s="129">
        <f t="shared" si="88"/>
        <v>2816598.3013735856</v>
      </c>
      <c r="U170" s="129">
        <f t="shared" si="89"/>
        <v>-605.21805035311638</v>
      </c>
      <c r="V170" s="132">
        <f t="shared" si="90"/>
        <v>-61.398218894910329</v>
      </c>
      <c r="W170" s="129">
        <f>EDisponible!AT82</f>
        <v>164193.67433160148</v>
      </c>
      <c r="X170" s="129">
        <f t="shared" si="91"/>
        <v>2926852.8096995372</v>
      </c>
      <c r="Y170" s="129">
        <f t="shared" si="92"/>
        <v>-634.78724690466299</v>
      </c>
      <c r="Z170" s="132">
        <f t="shared" si="93"/>
        <v>-62.53191821567772</v>
      </c>
      <c r="AA170" s="129">
        <f>EDisponible!AZ82</f>
        <v>141641.56398693623</v>
      </c>
      <c r="AB170" s="129">
        <f t="shared" si="94"/>
        <v>3013547.7307985825</v>
      </c>
      <c r="AC170" s="129">
        <f t="shared" si="95"/>
        <v>-659.88937457392558</v>
      </c>
      <c r="AD170" s="132">
        <f t="shared" si="96"/>
        <v>-63.431106871378709</v>
      </c>
      <c r="AE170" s="129">
        <f>EDisponible!BF82</f>
        <v>114838.92584906587</v>
      </c>
      <c r="AF170" s="129">
        <f t="shared" si="97"/>
        <v>3074014.1635535518</v>
      </c>
      <c r="AG170" s="129">
        <f t="shared" si="98"/>
        <v>-679.9415382819958</v>
      </c>
      <c r="AH170" s="132">
        <f t="shared" si="99"/>
        <v>-64.111038764086658</v>
      </c>
    </row>
    <row r="171" spans="1:34">
      <c r="A171" s="125">
        <v>335</v>
      </c>
      <c r="B171" s="126"/>
      <c r="C171" s="129">
        <f>EDisponible!P83</f>
        <v>232725.52198947591</v>
      </c>
      <c r="D171" s="129">
        <f t="shared" si="76"/>
        <v>2760598.8093071138</v>
      </c>
      <c r="E171" s="129">
        <f t="shared" si="77"/>
        <v>-589.64016232002041</v>
      </c>
      <c r="F171" s="132">
        <f t="shared" si="78"/>
        <v>-60.397225526777618</v>
      </c>
      <c r="G171" s="129">
        <f>EDisponible!V83</f>
        <v>225433.76357116643</v>
      </c>
      <c r="H171" s="129">
        <f t="shared" si="79"/>
        <v>2943077.6827403768</v>
      </c>
      <c r="I171" s="129">
        <f t="shared" si="80"/>
        <v>-633.90519203093174</v>
      </c>
      <c r="J171" s="132">
        <f t="shared" si="81"/>
        <v>-62.144883144554477</v>
      </c>
      <c r="K171" s="129">
        <f>EDisponible!AB83</f>
        <v>213637.15528581769</v>
      </c>
      <c r="L171" s="129">
        <f t="shared" si="82"/>
        <v>3112617.0235244464</v>
      </c>
      <c r="M171" s="129">
        <f t="shared" si="83"/>
        <v>-676.2027862102683</v>
      </c>
      <c r="N171" s="132">
        <f t="shared" si="84"/>
        <v>-63.645563198116882</v>
      </c>
      <c r="O171" s="129">
        <f>EDisponible!AH83</f>
        <v>198695.65113160346</v>
      </c>
      <c r="P171" s="129">
        <f t="shared" si="85"/>
        <v>3264631.6907092081</v>
      </c>
      <c r="Q171" s="129">
        <f t="shared" si="86"/>
        <v>-715.14621919899344</v>
      </c>
      <c r="R171" s="132">
        <f t="shared" si="87"/>
        <v>-64.899932214294651</v>
      </c>
      <c r="S171" s="129">
        <f>EDisponible!AN83</f>
        <v>181744.28360553074</v>
      </c>
      <c r="T171" s="129">
        <f t="shared" si="88"/>
        <v>3394980.5930426819</v>
      </c>
      <c r="U171" s="129">
        <f t="shared" si="89"/>
        <v>-749.50480650062514</v>
      </c>
      <c r="V171" s="132">
        <f t="shared" si="90"/>
        <v>-65.917182035590571</v>
      </c>
      <c r="W171" s="129">
        <f>EDisponible!AT83</f>
        <v>163716.66950262233</v>
      </c>
      <c r="X171" s="129">
        <f t="shared" si="91"/>
        <v>3500033.61573043</v>
      </c>
      <c r="Y171" s="129">
        <f t="shared" si="92"/>
        <v>-778.21403295584139</v>
      </c>
      <c r="Z171" s="132">
        <f t="shared" si="93"/>
        <v>-66.709435263572743</v>
      </c>
      <c r="AA171" s="129">
        <f>EDisponible!AZ83</f>
        <v>143408.24830966018</v>
      </c>
      <c r="AB171" s="129">
        <f t="shared" si="94"/>
        <v>3576734.2624740759</v>
      </c>
      <c r="AC171" s="129">
        <f t="shared" si="95"/>
        <v>-800.8419244928225</v>
      </c>
      <c r="AD171" s="132">
        <f t="shared" si="96"/>
        <v>-67.299965523000296</v>
      </c>
      <c r="AE171" s="129">
        <f>EDisponible!BF83</f>
        <v>116333.93240260218</v>
      </c>
      <c r="AF171" s="129">
        <f t="shared" si="97"/>
        <v>3622659.0467068288</v>
      </c>
      <c r="AG171" s="129">
        <f t="shared" si="98"/>
        <v>-817.86936074589812</v>
      </c>
      <c r="AH171" s="132">
        <f t="shared" si="99"/>
        <v>-67.725951173700508</v>
      </c>
    </row>
    <row r="172" spans="1:34">
      <c r="A172" s="125">
        <v>340</v>
      </c>
      <c r="B172" s="126"/>
      <c r="C172" s="129">
        <f>EDisponible!P84</f>
        <v>228708.8586922203</v>
      </c>
      <c r="D172" s="129">
        <f t="shared" si="76"/>
        <v>3408236.414274388</v>
      </c>
      <c r="E172" s="129">
        <f t="shared" si="77"/>
        <v>-752.71134116497615</v>
      </c>
      <c r="F172" s="132">
        <f t="shared" si="78"/>
        <v>-65.69128780647786</v>
      </c>
      <c r="G172" s="129">
        <f>EDisponible!V84</f>
        <v>222433.00904799977</v>
      </c>
      <c r="H172" s="129">
        <f t="shared" si="79"/>
        <v>3602812.334971074</v>
      </c>
      <c r="I172" s="129">
        <f t="shared" si="80"/>
        <v>-800.26035679254539</v>
      </c>
      <c r="J172" s="132">
        <f t="shared" si="81"/>
        <v>-66.981218552210578</v>
      </c>
      <c r="K172" s="129">
        <f>EDisponible!AB84</f>
        <v>211471.13364120925</v>
      </c>
      <c r="L172" s="129">
        <f t="shared" si="82"/>
        <v>3778835.0765881771</v>
      </c>
      <c r="M172" s="129">
        <f t="shared" si="83"/>
        <v>-844.52650621155999</v>
      </c>
      <c r="N172" s="132">
        <f t="shared" si="84"/>
        <v>-68.070656155895307</v>
      </c>
      <c r="O172" s="129">
        <f>EDisponible!AH84</f>
        <v>197206.27755167973</v>
      </c>
      <c r="P172" s="129">
        <f t="shared" si="85"/>
        <v>3931771.2986849416</v>
      </c>
      <c r="Q172" s="129">
        <f t="shared" si="86"/>
        <v>-884.10916294459514</v>
      </c>
      <c r="R172" s="132">
        <f t="shared" si="87"/>
        <v>-68.964859313890855</v>
      </c>
      <c r="S172" s="129">
        <f>EDisponible!AN84</f>
        <v>180794.65337684896</v>
      </c>
      <c r="T172" s="129">
        <f t="shared" si="88"/>
        <v>4057600.4227342764</v>
      </c>
      <c r="U172" s="129">
        <f t="shared" si="89"/>
        <v>-917.78278976256365</v>
      </c>
      <c r="V172" s="132">
        <f t="shared" si="90"/>
        <v>-69.672446857319201</v>
      </c>
      <c r="W172" s="129">
        <f>EDisponible!AT84</f>
        <v>163189.218716159</v>
      </c>
      <c r="X172" s="129">
        <f t="shared" si="91"/>
        <v>4152876.9696899778</v>
      </c>
      <c r="Y172" s="129">
        <f t="shared" si="92"/>
        <v>-944.5061146246677</v>
      </c>
      <c r="Z172" s="132">
        <f t="shared" si="93"/>
        <v>-70.202315914185377</v>
      </c>
      <c r="AA172" s="129">
        <f>EDisponible!AZ84</f>
        <v>145161.89777336488</v>
      </c>
      <c r="AB172" s="129">
        <f t="shared" si="94"/>
        <v>4214788.7927610027</v>
      </c>
      <c r="AC172" s="129">
        <f t="shared" si="95"/>
        <v>-963.43065584985129</v>
      </c>
      <c r="AD172" s="129"/>
      <c r="AE172" s="129">
        <f>EDisponible!BF84</f>
        <v>117869.68882848472</v>
      </c>
      <c r="AF172" s="129">
        <f t="shared" si="97"/>
        <v>4241212.1125519769</v>
      </c>
      <c r="AG172" s="129">
        <f t="shared" si="98"/>
        <v>-976.14710097238708</v>
      </c>
      <c r="AH172" s="132">
        <f t="shared" si="99"/>
        <v>-70.796355934566108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topLeftCell="L21" zoomScale="80" zoomScaleNormal="80" workbookViewId="0">
      <selection activeCell="L50" sqref="L50"/>
    </sheetView>
  </sheetViews>
  <sheetFormatPr baseColWidth="10" defaultRowHeight="15"/>
  <cols>
    <col min="5" max="7" width="11.5703125" style="171"/>
    <col min="14" max="16" width="11.5703125" style="171"/>
    <col min="22" max="24" width="11.5703125" style="171"/>
  </cols>
  <sheetData>
    <row r="1" spans="1:24">
      <c r="A1" s="121" t="s">
        <v>117</v>
      </c>
      <c r="B1" s="121"/>
      <c r="C1" s="121"/>
      <c r="J1" s="121" t="s">
        <v>118</v>
      </c>
      <c r="K1" s="121"/>
      <c r="L1" s="121"/>
      <c r="R1" s="121" t="s">
        <v>119</v>
      </c>
      <c r="S1" s="121"/>
      <c r="T1" s="121"/>
    </row>
    <row r="2" spans="1:24">
      <c r="A2" s="117" t="s">
        <v>154</v>
      </c>
      <c r="B2" s="117" t="s">
        <v>155</v>
      </c>
      <c r="C2" s="117" t="s">
        <v>156</v>
      </c>
      <c r="D2" s="117" t="s">
        <v>108</v>
      </c>
      <c r="E2" s="117" t="s">
        <v>257</v>
      </c>
      <c r="F2" s="117" t="s">
        <v>258</v>
      </c>
      <c r="G2" s="117" t="s">
        <v>259</v>
      </c>
      <c r="H2" s="39" t="s">
        <v>50</v>
      </c>
      <c r="J2" s="117" t="s">
        <v>154</v>
      </c>
      <c r="K2" s="117" t="s">
        <v>155</v>
      </c>
      <c r="L2" s="117" t="s">
        <v>156</v>
      </c>
      <c r="M2" s="117" t="s">
        <v>108</v>
      </c>
      <c r="N2" s="117" t="s">
        <v>257</v>
      </c>
      <c r="O2" s="117" t="s">
        <v>258</v>
      </c>
      <c r="P2" s="117" t="s">
        <v>259</v>
      </c>
      <c r="R2" s="117" t="s">
        <v>154</v>
      </c>
      <c r="S2" s="117" t="s">
        <v>155</v>
      </c>
      <c r="T2" s="117" t="s">
        <v>156</v>
      </c>
      <c r="U2" s="117" t="s">
        <v>108</v>
      </c>
      <c r="V2" s="117" t="s">
        <v>257</v>
      </c>
      <c r="W2" s="117" t="s">
        <v>258</v>
      </c>
      <c r="X2" s="117" t="s">
        <v>259</v>
      </c>
    </row>
    <row r="3" spans="1:24">
      <c r="A3">
        <v>0</v>
      </c>
      <c r="B3">
        <v>53</v>
      </c>
      <c r="C3">
        <v>285</v>
      </c>
      <c r="D3">
        <v>84.68</v>
      </c>
      <c r="E3" s="171">
        <f>B3/SQRT(1.41*287.05*H3)</f>
        <v>0.15519517883995357</v>
      </c>
      <c r="F3" s="171">
        <f>C3/SQRT(1.41*287.05*H3)</f>
        <v>0.83454011262993899</v>
      </c>
      <c r="G3" s="171">
        <f>D3/SQRT(1.41*287.05*H3)</f>
        <v>0.24796090083334468</v>
      </c>
      <c r="H3" s="171">
        <f>288.15-6.5*10^-3*A3</f>
        <v>288.14999999999998</v>
      </c>
      <c r="J3" s="119">
        <v>0</v>
      </c>
      <c r="K3" s="119">
        <v>49</v>
      </c>
      <c r="L3" s="119">
        <v>285</v>
      </c>
      <c r="M3" s="131">
        <v>79.58</v>
      </c>
      <c r="N3" s="171">
        <f>K3/SQRT(1.41*287.05*H3)</f>
        <v>0.14348233515391934</v>
      </c>
      <c r="O3" s="171">
        <f>L3/SQRT(1.41*287.05*H3)</f>
        <v>0.83454011262993899</v>
      </c>
      <c r="P3" s="171">
        <f>M3/SQRT(1.41*287.05*H3)</f>
        <v>0.23302702513365101</v>
      </c>
      <c r="R3" s="119">
        <v>0</v>
      </c>
      <c r="S3" s="120">
        <v>41</v>
      </c>
      <c r="T3" s="120">
        <v>287</v>
      </c>
      <c r="U3" s="131">
        <v>73.37</v>
      </c>
      <c r="V3" s="171">
        <f>S3/SQRT(1.41*287.05*H3)</f>
        <v>0.12005664778185086</v>
      </c>
      <c r="W3" s="171">
        <f>T3/SQRT(1.41*287.05*H3)</f>
        <v>0.84039653447295604</v>
      </c>
      <c r="X3" s="171">
        <f>U3/SQRT(1.41*287.05*H3)</f>
        <v>0.21484283531108289</v>
      </c>
    </row>
    <row r="4" spans="1:24">
      <c r="A4">
        <v>1500</v>
      </c>
      <c r="B4">
        <v>64</v>
      </c>
      <c r="C4">
        <v>283</v>
      </c>
      <c r="D4">
        <v>91.11</v>
      </c>
      <c r="E4" s="171">
        <f t="shared" ref="E4:E10" si="0">B4/SQRT(1.41*287.05*H4)</f>
        <v>0.19065887521310992</v>
      </c>
      <c r="F4" s="171">
        <f t="shared" ref="F4:F10" si="1">C4/SQRT(1.41*287.05*H4)</f>
        <v>0.84306971383297047</v>
      </c>
      <c r="G4" s="171">
        <f t="shared" ref="G4:G10" si="2">D4/SQRT(1.41*287.05*H4)</f>
        <v>0.27142078313541323</v>
      </c>
      <c r="H4" s="171">
        <f t="shared" ref="H4:H10" si="3">288.15-6.5*10^-3*A4</f>
        <v>278.39999999999998</v>
      </c>
      <c r="J4" s="119">
        <v>1500</v>
      </c>
      <c r="K4" s="119">
        <v>57</v>
      </c>
      <c r="L4" s="119">
        <v>282</v>
      </c>
      <c r="M4" s="131">
        <v>85.63</v>
      </c>
      <c r="N4" s="171">
        <f t="shared" ref="N4:N10" si="4">K4/SQRT(1.41*287.05*H4)</f>
        <v>0.16980556073667602</v>
      </c>
      <c r="O4" s="171">
        <f t="shared" ref="O4:O10" si="5">L4/SQRT(1.41*287.05*H4)</f>
        <v>0.84009066890776563</v>
      </c>
      <c r="P4" s="171">
        <f t="shared" ref="P4:P10" si="6">M4/SQRT(1.41*287.05*H4)</f>
        <v>0.25509561694529065</v>
      </c>
      <c r="R4" s="119">
        <v>1500</v>
      </c>
      <c r="S4" s="120">
        <v>49</v>
      </c>
      <c r="T4" s="120">
        <v>285</v>
      </c>
      <c r="U4" s="131">
        <v>78.94</v>
      </c>
      <c r="V4" s="171">
        <f t="shared" ref="V4:V10" si="7">S4/SQRT(1.41*287.05*H4)</f>
        <v>0.1459732013350373</v>
      </c>
      <c r="W4" s="171">
        <f t="shared" ref="W4:W10" si="8">T4/SQRT(1.41*287.05*H4)</f>
        <v>0.84902780368338016</v>
      </c>
      <c r="X4" s="171">
        <f t="shared" ref="X4:X10" si="9">U4/SQRT(1.41*287.05*H4)</f>
        <v>0.23516580639567028</v>
      </c>
    </row>
    <row r="5" spans="1:24">
      <c r="A5" s="115">
        <v>3000</v>
      </c>
      <c r="B5">
        <v>77</v>
      </c>
      <c r="C5">
        <v>280</v>
      </c>
      <c r="D5">
        <v>98.21</v>
      </c>
      <c r="E5" s="171">
        <f t="shared" si="0"/>
        <v>0.23351187485982111</v>
      </c>
      <c r="F5" s="171">
        <f t="shared" si="1"/>
        <v>0.84913409039934951</v>
      </c>
      <c r="G5" s="171">
        <f t="shared" si="2"/>
        <v>0.29783378220757184</v>
      </c>
      <c r="H5" s="171">
        <f t="shared" si="3"/>
        <v>268.64999999999998</v>
      </c>
      <c r="J5" s="119">
        <v>3000</v>
      </c>
      <c r="K5" s="119">
        <v>68</v>
      </c>
      <c r="L5" s="119">
        <v>280</v>
      </c>
      <c r="M5" s="131">
        <v>92.37</v>
      </c>
      <c r="N5" s="171">
        <f t="shared" si="4"/>
        <v>0.20621827909698487</v>
      </c>
      <c r="O5" s="171">
        <f t="shared" si="5"/>
        <v>0.84913409039934951</v>
      </c>
      <c r="P5" s="171">
        <f t="shared" si="6"/>
        <v>0.28012327117924257</v>
      </c>
      <c r="R5" s="119">
        <v>3000</v>
      </c>
      <c r="S5" s="120">
        <v>60</v>
      </c>
      <c r="T5" s="120">
        <v>282</v>
      </c>
      <c r="U5" s="131">
        <v>85.15</v>
      </c>
      <c r="V5" s="171">
        <f t="shared" si="7"/>
        <v>0.18195730508557489</v>
      </c>
      <c r="W5" s="171">
        <f t="shared" si="8"/>
        <v>0.85519933390220204</v>
      </c>
      <c r="X5" s="171">
        <f t="shared" si="9"/>
        <v>0.25822774213394506</v>
      </c>
    </row>
    <row r="6" spans="1:24">
      <c r="A6" s="115">
        <v>4500</v>
      </c>
      <c r="B6">
        <v>94</v>
      </c>
      <c r="C6">
        <v>277</v>
      </c>
      <c r="D6">
        <v>106.32</v>
      </c>
      <c r="E6" s="171">
        <f t="shared" si="0"/>
        <v>0.29038454370316602</v>
      </c>
      <c r="F6" s="171">
        <f t="shared" si="1"/>
        <v>0.85570764474230843</v>
      </c>
      <c r="G6" s="171">
        <f t="shared" si="2"/>
        <v>0.32844345411192138</v>
      </c>
      <c r="H6" s="171">
        <f t="shared" si="3"/>
        <v>258.89999999999998</v>
      </c>
      <c r="J6" s="119">
        <v>4500</v>
      </c>
      <c r="K6" s="119">
        <v>83</v>
      </c>
      <c r="L6" s="119">
        <v>278</v>
      </c>
      <c r="M6" s="131">
        <v>99.92</v>
      </c>
      <c r="N6" s="171">
        <f t="shared" si="4"/>
        <v>0.25640337369534871</v>
      </c>
      <c r="O6" s="171">
        <f t="shared" si="5"/>
        <v>0.85879684201574635</v>
      </c>
      <c r="P6" s="171">
        <f t="shared" si="6"/>
        <v>0.30867259156191862</v>
      </c>
      <c r="R6" s="119">
        <v>4500</v>
      </c>
      <c r="S6" s="120">
        <v>73</v>
      </c>
      <c r="T6" s="120">
        <v>278</v>
      </c>
      <c r="U6" s="131">
        <v>92.11</v>
      </c>
      <c r="V6" s="171">
        <f t="shared" si="7"/>
        <v>0.22551140096096936</v>
      </c>
      <c r="W6" s="171">
        <f t="shared" si="8"/>
        <v>0.85879684201574635</v>
      </c>
      <c r="X6" s="171">
        <f t="shared" si="9"/>
        <v>0.28454596085636835</v>
      </c>
    </row>
    <row r="7" spans="1:24">
      <c r="A7" s="115">
        <v>6000</v>
      </c>
      <c r="B7">
        <v>116</v>
      </c>
      <c r="C7">
        <v>273</v>
      </c>
      <c r="D7">
        <v>115.36</v>
      </c>
      <c r="E7" s="171">
        <f t="shared" si="0"/>
        <v>0.36529120127891179</v>
      </c>
      <c r="F7" s="171">
        <f t="shared" si="1"/>
        <v>0.85969394783743902</v>
      </c>
      <c r="G7" s="171">
        <f t="shared" si="2"/>
        <v>0.36327580154771782</v>
      </c>
      <c r="H7" s="171">
        <f t="shared" si="3"/>
        <v>249.14999999999998</v>
      </c>
      <c r="J7" s="119">
        <v>6000</v>
      </c>
      <c r="K7" s="119">
        <v>102</v>
      </c>
      <c r="L7" s="119">
        <v>272</v>
      </c>
      <c r="M7" s="131">
        <v>108.41</v>
      </c>
      <c r="N7" s="171">
        <f t="shared" si="4"/>
        <v>0.32120433215904315</v>
      </c>
      <c r="O7" s="171">
        <f t="shared" si="5"/>
        <v>0.85654488575744836</v>
      </c>
      <c r="P7" s="171">
        <f t="shared" si="6"/>
        <v>0.34138982009178298</v>
      </c>
      <c r="R7" s="119">
        <v>6000</v>
      </c>
      <c r="S7" s="120">
        <v>87</v>
      </c>
      <c r="T7" s="120">
        <v>275</v>
      </c>
      <c r="U7" s="131">
        <v>99.94</v>
      </c>
      <c r="V7" s="171">
        <f t="shared" si="7"/>
        <v>0.27396840095918384</v>
      </c>
      <c r="W7" s="171">
        <f t="shared" si="8"/>
        <v>0.86599207199742023</v>
      </c>
      <c r="X7" s="171">
        <f t="shared" si="9"/>
        <v>0.31471726427426244</v>
      </c>
    </row>
    <row r="8" spans="1:24">
      <c r="A8" s="115">
        <v>7500</v>
      </c>
      <c r="B8">
        <v>148</v>
      </c>
      <c r="C8">
        <v>265</v>
      </c>
      <c r="D8">
        <v>125.57</v>
      </c>
      <c r="E8" s="171">
        <f t="shared" si="0"/>
        <v>0.47545707080091643</v>
      </c>
      <c r="F8" s="171">
        <f t="shared" si="1"/>
        <v>0.85132516055569496</v>
      </c>
      <c r="G8" s="171">
        <f t="shared" si="2"/>
        <v>0.40339962419237213</v>
      </c>
      <c r="H8" s="171">
        <f t="shared" si="3"/>
        <v>239.39999999999998</v>
      </c>
      <c r="J8" s="119">
        <v>7500</v>
      </c>
      <c r="K8" s="119">
        <v>128</v>
      </c>
      <c r="L8" s="119">
        <v>265</v>
      </c>
      <c r="M8" s="131">
        <v>118.01600000000001</v>
      </c>
      <c r="N8" s="171">
        <f t="shared" si="4"/>
        <v>0.41120611528727907</v>
      </c>
      <c r="O8" s="171">
        <f t="shared" si="5"/>
        <v>0.85132516055569496</v>
      </c>
      <c r="P8" s="171">
        <f t="shared" si="6"/>
        <v>0.37913203829487135</v>
      </c>
      <c r="R8" s="119">
        <v>7500</v>
      </c>
      <c r="S8" s="120">
        <v>107</v>
      </c>
      <c r="T8" s="120">
        <v>269</v>
      </c>
      <c r="U8" s="131">
        <v>108.79</v>
      </c>
      <c r="V8" s="171">
        <f t="shared" si="7"/>
        <v>0.34374261199795986</v>
      </c>
      <c r="W8" s="171">
        <f t="shared" si="8"/>
        <v>0.86417535165842241</v>
      </c>
      <c r="X8" s="171">
        <f t="shared" si="9"/>
        <v>0.34949307251643041</v>
      </c>
    </row>
    <row r="9" spans="1:24">
      <c r="A9" s="115">
        <v>9000</v>
      </c>
      <c r="B9">
        <v>204</v>
      </c>
      <c r="C9">
        <v>254</v>
      </c>
      <c r="D9">
        <v>137.16999999999999</v>
      </c>
      <c r="E9" s="171">
        <f t="shared" si="0"/>
        <v>0.66912708648558661</v>
      </c>
      <c r="F9" s="171">
        <f t="shared" si="1"/>
        <v>0.83312882336930882</v>
      </c>
      <c r="G9" s="171">
        <f t="shared" si="2"/>
        <v>0.44992236496680349</v>
      </c>
      <c r="H9" s="171">
        <f t="shared" si="3"/>
        <v>229.64999999999998</v>
      </c>
      <c r="J9" s="119">
        <v>9000</v>
      </c>
      <c r="K9" s="119">
        <v>166</v>
      </c>
      <c r="L9" s="119">
        <v>258</v>
      </c>
      <c r="M9" s="131">
        <v>128.91</v>
      </c>
      <c r="N9" s="171">
        <f t="shared" si="4"/>
        <v>0.54448576645395774</v>
      </c>
      <c r="O9" s="171">
        <f t="shared" si="5"/>
        <v>0.84624896232000668</v>
      </c>
      <c r="P9" s="171">
        <f t="shared" si="6"/>
        <v>0.42282927803361259</v>
      </c>
      <c r="R9" s="119">
        <v>9000</v>
      </c>
      <c r="S9" s="120">
        <v>134</v>
      </c>
      <c r="T9" s="120">
        <v>260</v>
      </c>
      <c r="U9" s="131">
        <v>118.84</v>
      </c>
      <c r="V9" s="171">
        <f t="shared" si="7"/>
        <v>0.43952465484837555</v>
      </c>
      <c r="W9" s="171">
        <f t="shared" si="8"/>
        <v>0.8528090317953555</v>
      </c>
      <c r="X9" s="171">
        <f t="shared" si="9"/>
        <v>0.389799328225231</v>
      </c>
    </row>
    <row r="10" spans="1:24">
      <c r="A10" s="115">
        <v>10500</v>
      </c>
      <c r="D10">
        <v>150.42500000000001</v>
      </c>
      <c r="E10" s="171">
        <f t="shared" si="0"/>
        <v>0</v>
      </c>
      <c r="F10" s="171">
        <f t="shared" si="1"/>
        <v>0</v>
      </c>
      <c r="G10" s="171">
        <f t="shared" si="2"/>
        <v>0.50421884535785799</v>
      </c>
      <c r="H10" s="171">
        <f t="shared" si="3"/>
        <v>219.89999999999998</v>
      </c>
      <c r="J10" s="119">
        <v>10500</v>
      </c>
      <c r="K10" s="119"/>
      <c r="L10" s="119"/>
      <c r="M10" s="131">
        <v>141.36000000000001</v>
      </c>
      <c r="N10" s="171">
        <f t="shared" si="4"/>
        <v>0</v>
      </c>
      <c r="O10" s="171">
        <f t="shared" si="5"/>
        <v>0</v>
      </c>
      <c r="P10" s="171">
        <f t="shared" si="6"/>
        <v>0.47383331214749413</v>
      </c>
      <c r="R10" s="119">
        <v>10500</v>
      </c>
      <c r="S10" s="120">
        <v>180</v>
      </c>
      <c r="T10" s="120">
        <v>252</v>
      </c>
      <c r="U10" s="131">
        <v>130.32</v>
      </c>
      <c r="V10" s="171">
        <f t="shared" si="7"/>
        <v>0.60335311393993307</v>
      </c>
      <c r="W10" s="171">
        <f t="shared" si="8"/>
        <v>0.84469435951590632</v>
      </c>
      <c r="X10" s="171">
        <f t="shared" si="9"/>
        <v>0.43682765449251154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D15"/>
  <sheetViews>
    <sheetView zoomScale="80" zoomScaleNormal="80" workbookViewId="0">
      <selection activeCell="Q30" sqref="Q30"/>
    </sheetView>
  </sheetViews>
  <sheetFormatPr baseColWidth="10" defaultRowHeight="15"/>
  <sheetData>
    <row r="5" spans="1:4">
      <c r="B5" t="s">
        <v>117</v>
      </c>
      <c r="C5" t="s">
        <v>118</v>
      </c>
      <c r="D5" t="s">
        <v>119</v>
      </c>
    </row>
    <row r="7" spans="1:4">
      <c r="A7" t="s">
        <v>172</v>
      </c>
      <c r="B7" t="s">
        <v>173</v>
      </c>
      <c r="C7" t="s">
        <v>173</v>
      </c>
      <c r="D7" t="s">
        <v>173</v>
      </c>
    </row>
    <row r="8" spans="1:4">
      <c r="A8">
        <v>0</v>
      </c>
      <c r="B8">
        <v>17</v>
      </c>
      <c r="C8">
        <v>20</v>
      </c>
      <c r="D8">
        <v>24.5</v>
      </c>
    </row>
    <row r="9" spans="1:4">
      <c r="A9">
        <v>1500</v>
      </c>
      <c r="B9">
        <v>15.3</v>
      </c>
      <c r="C9">
        <v>17.8</v>
      </c>
      <c r="D9">
        <v>22.3</v>
      </c>
    </row>
    <row r="10" spans="1:4">
      <c r="A10" s="134">
        <v>3000</v>
      </c>
      <c r="B10">
        <v>13.3</v>
      </c>
      <c r="C10">
        <v>15.9</v>
      </c>
      <c r="D10">
        <v>19.8</v>
      </c>
    </row>
    <row r="11" spans="1:4">
      <c r="A11" s="134">
        <v>4500</v>
      </c>
      <c r="B11">
        <v>10.4</v>
      </c>
      <c r="C11">
        <v>12.5</v>
      </c>
      <c r="D11">
        <v>15.7</v>
      </c>
    </row>
    <row r="12" spans="1:4">
      <c r="A12" s="134">
        <v>6000</v>
      </c>
      <c r="B12">
        <v>7</v>
      </c>
      <c r="C12">
        <v>8.6999999999999993</v>
      </c>
      <c r="D12">
        <v>11.5</v>
      </c>
    </row>
    <row r="13" spans="1:4">
      <c r="A13" s="134">
        <v>7500</v>
      </c>
      <c r="B13">
        <v>3.8</v>
      </c>
      <c r="C13">
        <v>5.2</v>
      </c>
      <c r="D13">
        <v>7.83</v>
      </c>
    </row>
    <row r="14" spans="1:4">
      <c r="A14" s="134">
        <v>9000</v>
      </c>
      <c r="B14">
        <v>1</v>
      </c>
      <c r="C14">
        <v>2.4</v>
      </c>
      <c r="D14">
        <v>4.5</v>
      </c>
    </row>
    <row r="15" spans="1:4">
      <c r="A15" s="134">
        <v>10500</v>
      </c>
      <c r="B15">
        <v>-2</v>
      </c>
      <c r="C15">
        <v>-0.43</v>
      </c>
      <c r="D15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Gráficos</vt:lpstr>
      </vt:variant>
      <vt:variant>
        <vt:i4>3</vt:i4>
      </vt:variant>
    </vt:vector>
  </HeadingPairs>
  <TitlesOfParts>
    <vt:vector size="17" baseType="lpstr">
      <vt:lpstr>DATOS</vt:lpstr>
      <vt:lpstr>Características Aerodinámicas</vt:lpstr>
      <vt:lpstr>POLAR</vt:lpstr>
      <vt:lpstr>EDisponible</vt:lpstr>
      <vt:lpstr>ENecesario(W1)</vt:lpstr>
      <vt:lpstr>ENecesario(W2)</vt:lpstr>
      <vt:lpstr>ENecesario(W3)</vt:lpstr>
      <vt:lpstr>Envolvente </vt:lpstr>
      <vt:lpstr>Altura-Vs</vt:lpstr>
      <vt:lpstr>Tiempo de subida mínimo</vt:lpstr>
      <vt:lpstr>Viraje horizontal</vt:lpstr>
      <vt:lpstr>AutonomiaAlcance</vt:lpstr>
      <vt:lpstr>Aterrizaje y despeg</vt:lpstr>
      <vt:lpstr>ESTABILIDAD</vt:lpstr>
      <vt:lpstr>Empujes(W1)</vt:lpstr>
      <vt:lpstr>Empujes(W2)</vt:lpstr>
      <vt:lpstr>Empujes(W3)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Ciprian;Marc</dc:creator>
  <cp:lastModifiedBy>USER</cp:lastModifiedBy>
  <dcterms:created xsi:type="dcterms:W3CDTF">2018-03-20T12:03:51Z</dcterms:created>
  <dcterms:modified xsi:type="dcterms:W3CDTF">2018-06-03T13:34:08Z</dcterms:modified>
</cp:coreProperties>
</file>