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umno\Downloads\"/>
    </mc:Choice>
  </mc:AlternateContent>
  <bookViews>
    <workbookView xWindow="0" yWindow="0" windowWidth="19200" windowHeight="7050" tabRatio="713" activeTab="1"/>
  </bookViews>
  <sheets>
    <sheet name="Informe" sheetId="34" r:id="rId1"/>
    <sheet name="2008" sheetId="20" r:id="rId2"/>
    <sheet name="2009" sheetId="21" r:id="rId3"/>
    <sheet name="2010" sheetId="22" r:id="rId4"/>
    <sheet name="2011" sheetId="23" r:id="rId5"/>
    <sheet name="2012" sheetId="24" r:id="rId6"/>
    <sheet name="2013" sheetId="25" r:id="rId7"/>
    <sheet name="2014" sheetId="26" r:id="rId8"/>
    <sheet name="2015" sheetId="27" r:id="rId9"/>
    <sheet name="2016" sheetId="17" r:id="rId10"/>
    <sheet name="2017" sheetId="18" r:id="rId11"/>
    <sheet name="2018" sheetId="19" r:id="rId12"/>
    <sheet name="Flota total" sheetId="29" r:id="rId13"/>
    <sheet name="Eficiencia Media" sheetId="30" r:id="rId14"/>
    <sheet name="Etapa media" sheetId="32" r:id="rId15"/>
    <sheet name="Utilización Diaria" sheetId="33" r:id="rId16"/>
  </sheets>
  <calcPr calcId="162913"/>
</workbook>
</file>

<file path=xl/calcChain.xml><?xml version="1.0" encoding="utf-8"?>
<calcChain xmlns="http://schemas.openxmlformats.org/spreadsheetml/2006/main">
  <c r="C6" i="30" l="1"/>
  <c r="D6" i="30"/>
  <c r="E6" i="30"/>
  <c r="F6" i="30"/>
  <c r="G6" i="30"/>
  <c r="H6" i="30"/>
  <c r="I6" i="30"/>
  <c r="J6" i="30"/>
  <c r="K6" i="30"/>
  <c r="L6" i="30"/>
  <c r="C5" i="30"/>
  <c r="D5" i="30"/>
  <c r="E5" i="30"/>
  <c r="F5" i="30"/>
  <c r="G5" i="30"/>
  <c r="H5" i="30"/>
  <c r="I5" i="30"/>
  <c r="J5" i="30"/>
  <c r="K5" i="30"/>
  <c r="L5" i="30"/>
  <c r="C4" i="30"/>
  <c r="D4" i="30"/>
  <c r="E4" i="30"/>
  <c r="F4" i="30"/>
  <c r="G4" i="30"/>
  <c r="H4" i="30"/>
  <c r="I4" i="30"/>
  <c r="J4" i="30"/>
  <c r="K4" i="30"/>
  <c r="L4" i="30"/>
  <c r="B4" i="30"/>
  <c r="B5" i="30"/>
  <c r="B6" i="30"/>
  <c r="C3" i="30"/>
  <c r="D3" i="30"/>
  <c r="E3" i="30"/>
  <c r="F3" i="30"/>
  <c r="G3" i="30"/>
  <c r="H3" i="30"/>
  <c r="I3" i="30"/>
  <c r="J3" i="30"/>
  <c r="K3" i="30"/>
  <c r="L3" i="30"/>
  <c r="B3" i="30"/>
  <c r="L11" i="30"/>
  <c r="L12" i="30"/>
  <c r="L13" i="30"/>
  <c r="L14" i="30"/>
  <c r="L15" i="30"/>
  <c r="L16" i="30"/>
  <c r="L17" i="30"/>
  <c r="L18" i="30"/>
  <c r="L19" i="30"/>
  <c r="L20" i="30"/>
  <c r="L21" i="30"/>
  <c r="L22" i="30"/>
  <c r="L23" i="30"/>
  <c r="L24" i="30"/>
  <c r="L25" i="30"/>
  <c r="L26" i="30"/>
  <c r="L27" i="30"/>
  <c r="L28" i="30"/>
  <c r="K11" i="30"/>
  <c r="K12" i="30"/>
  <c r="K13" i="30"/>
  <c r="K14" i="30"/>
  <c r="K15" i="30"/>
  <c r="K16" i="30"/>
  <c r="K17" i="30"/>
  <c r="K18" i="30"/>
  <c r="K19" i="30"/>
  <c r="K20" i="30"/>
  <c r="K21" i="30"/>
  <c r="K22" i="30"/>
  <c r="K23" i="30"/>
  <c r="K24" i="30"/>
  <c r="K25" i="30"/>
  <c r="K26" i="30"/>
  <c r="K27" i="30"/>
  <c r="K28" i="30"/>
  <c r="J11" i="30"/>
  <c r="J12" i="30"/>
  <c r="J13" i="30"/>
  <c r="J14" i="30"/>
  <c r="J15" i="30"/>
  <c r="J16" i="30"/>
  <c r="J17" i="30"/>
  <c r="J18" i="30"/>
  <c r="J19" i="30"/>
  <c r="J20" i="30"/>
  <c r="J21" i="30"/>
  <c r="J22" i="30"/>
  <c r="J23" i="30"/>
  <c r="J24" i="30"/>
  <c r="J25" i="30"/>
  <c r="J26" i="30"/>
  <c r="J27" i="30"/>
  <c r="J28" i="30"/>
  <c r="I11" i="30"/>
  <c r="I12" i="30"/>
  <c r="I13" i="30"/>
  <c r="I14" i="30"/>
  <c r="I15" i="30"/>
  <c r="I16" i="30"/>
  <c r="I17" i="30"/>
  <c r="I18" i="30"/>
  <c r="I19" i="30"/>
  <c r="I20" i="30"/>
  <c r="I21" i="30"/>
  <c r="I22" i="30"/>
  <c r="I23" i="30"/>
  <c r="I24" i="30"/>
  <c r="I25" i="30"/>
  <c r="I26" i="30"/>
  <c r="I27" i="30"/>
  <c r="I28" i="30"/>
  <c r="H11" i="30"/>
  <c r="H12" i="30"/>
  <c r="H13" i="30"/>
  <c r="H14" i="30"/>
  <c r="H15" i="30"/>
  <c r="H16" i="30"/>
  <c r="H17" i="30"/>
  <c r="H18" i="30"/>
  <c r="H19" i="30"/>
  <c r="H20" i="30"/>
  <c r="H21" i="30"/>
  <c r="H22" i="30"/>
  <c r="H23" i="30"/>
  <c r="H24" i="30"/>
  <c r="H25" i="30"/>
  <c r="H26" i="30"/>
  <c r="H27" i="30"/>
  <c r="H28" i="30"/>
  <c r="G11" i="30"/>
  <c r="G12" i="30"/>
  <c r="G13" i="30"/>
  <c r="G14" i="30"/>
  <c r="G15" i="30"/>
  <c r="G16" i="30"/>
  <c r="G17" i="30"/>
  <c r="G18" i="30"/>
  <c r="G19" i="30"/>
  <c r="G20" i="30"/>
  <c r="G21" i="30"/>
  <c r="G22" i="30"/>
  <c r="G23" i="30"/>
  <c r="G24" i="30"/>
  <c r="G25" i="30"/>
  <c r="G26" i="30"/>
  <c r="G27" i="30"/>
  <c r="G28" i="30"/>
  <c r="F11" i="30"/>
  <c r="F12" i="30"/>
  <c r="F13" i="30"/>
  <c r="F14" i="30"/>
  <c r="F15" i="30"/>
  <c r="F16" i="30"/>
  <c r="F17" i="30"/>
  <c r="F18" i="30"/>
  <c r="F19" i="30"/>
  <c r="F20" i="30"/>
  <c r="F21" i="30"/>
  <c r="F22" i="30"/>
  <c r="F23" i="30"/>
  <c r="F24" i="30"/>
  <c r="F25" i="30"/>
  <c r="F26" i="30"/>
  <c r="F27" i="30"/>
  <c r="F28" i="30"/>
  <c r="E11" i="30"/>
  <c r="E12" i="30"/>
  <c r="E13" i="30"/>
  <c r="E14" i="30"/>
  <c r="E15" i="30"/>
  <c r="E16" i="30"/>
  <c r="E17" i="30"/>
  <c r="E18" i="30"/>
  <c r="E19" i="30"/>
  <c r="E20" i="30"/>
  <c r="E21" i="30"/>
  <c r="E22" i="30"/>
  <c r="E23" i="30"/>
  <c r="E24" i="30"/>
  <c r="E25" i="30"/>
  <c r="E26" i="30"/>
  <c r="E27" i="30"/>
  <c r="E28" i="30"/>
  <c r="D11" i="30"/>
  <c r="D12" i="30"/>
  <c r="D13" i="30"/>
  <c r="D14" i="30"/>
  <c r="D15" i="30"/>
  <c r="D16" i="30"/>
  <c r="D17" i="30"/>
  <c r="D18" i="30"/>
  <c r="D19" i="30"/>
  <c r="D20" i="30"/>
  <c r="D21" i="30"/>
  <c r="D22" i="30"/>
  <c r="D23" i="30"/>
  <c r="D24" i="30"/>
  <c r="D25" i="30"/>
  <c r="D26" i="30"/>
  <c r="D27" i="30"/>
  <c r="D28" i="30"/>
  <c r="C11" i="30"/>
  <c r="C12" i="30"/>
  <c r="C13" i="30"/>
  <c r="C14" i="30"/>
  <c r="C15" i="30"/>
  <c r="C16" i="30"/>
  <c r="C17" i="30"/>
  <c r="C18" i="30"/>
  <c r="C19" i="30"/>
  <c r="C20" i="30"/>
  <c r="C21" i="30"/>
  <c r="C22" i="30"/>
  <c r="C23" i="30"/>
  <c r="C24" i="30"/>
  <c r="C25" i="30"/>
  <c r="C26" i="30"/>
  <c r="C27" i="30"/>
  <c r="C28" i="30"/>
  <c r="D10" i="30"/>
  <c r="E10" i="30"/>
  <c r="F10" i="30"/>
  <c r="G10" i="30"/>
  <c r="H10" i="30"/>
  <c r="I10" i="30"/>
  <c r="J10" i="30"/>
  <c r="K10" i="30"/>
  <c r="L10" i="30"/>
  <c r="C10" i="30"/>
  <c r="G5" i="19"/>
  <c r="G6" i="19"/>
  <c r="G7" i="19"/>
  <c r="G8" i="19"/>
  <c r="G9" i="19"/>
  <c r="G10" i="19"/>
  <c r="G11" i="19"/>
  <c r="G12" i="19"/>
  <c r="G13" i="19"/>
  <c r="G14" i="19"/>
  <c r="G4" i="19"/>
  <c r="G5" i="18"/>
  <c r="G6" i="18"/>
  <c r="G7" i="18"/>
  <c r="G8" i="18"/>
  <c r="G9" i="18"/>
  <c r="G10" i="18"/>
  <c r="G11" i="18"/>
  <c r="G12" i="18"/>
  <c r="G13" i="18"/>
  <c r="G14" i="18"/>
  <c r="G15" i="18"/>
  <c r="G4" i="18"/>
  <c r="G5" i="17"/>
  <c r="G6" i="17"/>
  <c r="G7" i="17"/>
  <c r="G8" i="17"/>
  <c r="G9" i="17"/>
  <c r="G10" i="17"/>
  <c r="G11" i="17"/>
  <c r="G12" i="17"/>
  <c r="G13" i="17"/>
  <c r="G4" i="17"/>
  <c r="G5" i="27"/>
  <c r="G6" i="27"/>
  <c r="G7" i="27"/>
  <c r="G8" i="27"/>
  <c r="G9" i="27"/>
  <c r="G10" i="27"/>
  <c r="G11" i="27"/>
  <c r="G12" i="27"/>
  <c r="G4" i="27"/>
  <c r="G5" i="26"/>
  <c r="G6" i="26"/>
  <c r="G7" i="26"/>
  <c r="G8" i="26"/>
  <c r="G9" i="26"/>
  <c r="G10" i="26"/>
  <c r="G11" i="26"/>
  <c r="G12" i="26"/>
  <c r="G4" i="26"/>
  <c r="G4" i="25"/>
  <c r="G5" i="25"/>
  <c r="G6" i="25"/>
  <c r="G7" i="25"/>
  <c r="G8" i="25"/>
  <c r="G9" i="25"/>
  <c r="G10" i="25"/>
  <c r="G11" i="25"/>
  <c r="G12" i="25"/>
  <c r="G13" i="25"/>
  <c r="G4" i="24"/>
  <c r="G5" i="24"/>
  <c r="G6" i="24"/>
  <c r="G7" i="24"/>
  <c r="G8" i="24"/>
  <c r="G9" i="24"/>
  <c r="G10" i="24"/>
  <c r="G11" i="24"/>
  <c r="G12" i="24"/>
  <c r="G13" i="24"/>
  <c r="G5" i="23"/>
  <c r="G6" i="23"/>
  <c r="G7" i="23"/>
  <c r="G8" i="23"/>
  <c r="G9" i="23"/>
  <c r="G10" i="23"/>
  <c r="G11" i="23"/>
  <c r="G12" i="23"/>
  <c r="G13" i="23"/>
  <c r="G14" i="23"/>
  <c r="G4" i="23"/>
  <c r="G5" i="22"/>
  <c r="G6" i="22"/>
  <c r="G7" i="22"/>
  <c r="G8" i="22"/>
  <c r="G9" i="22"/>
  <c r="G10" i="22"/>
  <c r="G11" i="22"/>
  <c r="G12" i="22"/>
  <c r="G13" i="22"/>
  <c r="G14" i="22"/>
  <c r="G4" i="22"/>
  <c r="G5" i="21"/>
  <c r="G6" i="21"/>
  <c r="G7" i="21"/>
  <c r="G8" i="21"/>
  <c r="G9" i="21"/>
  <c r="G10" i="21"/>
  <c r="G11" i="21"/>
  <c r="G12" i="21"/>
  <c r="G13" i="21"/>
  <c r="G14" i="21"/>
  <c r="G4" i="21"/>
  <c r="G4" i="20"/>
  <c r="B10" i="30" s="1"/>
  <c r="G5" i="20"/>
  <c r="B11" i="30" s="1"/>
  <c r="G6" i="20"/>
  <c r="B12" i="30" s="1"/>
  <c r="G7" i="20"/>
  <c r="B13" i="30" s="1"/>
  <c r="G8" i="20"/>
  <c r="B14" i="30" s="1"/>
  <c r="G9" i="20"/>
  <c r="B15" i="30" s="1"/>
  <c r="G10" i="20"/>
  <c r="B16" i="30" s="1"/>
  <c r="G11" i="20"/>
  <c r="B17" i="30" s="1"/>
  <c r="G12" i="20"/>
  <c r="B18" i="30" s="1"/>
  <c r="G13" i="20"/>
  <c r="B19" i="30" s="1"/>
  <c r="G14" i="20"/>
  <c r="B20" i="30" s="1"/>
  <c r="G15" i="20"/>
  <c r="B21" i="30" s="1"/>
  <c r="G16" i="20"/>
  <c r="D24" i="20" l="1"/>
  <c r="D23" i="20"/>
  <c r="D22" i="20"/>
  <c r="D20" i="21"/>
  <c r="D19" i="21"/>
  <c r="D18" i="21"/>
  <c r="D18" i="22"/>
  <c r="D17" i="22"/>
  <c r="D16" i="22"/>
  <c r="D18" i="23"/>
  <c r="D17" i="23"/>
  <c r="D16" i="23"/>
  <c r="D19" i="24"/>
  <c r="D18" i="24"/>
  <c r="D17" i="24"/>
  <c r="D18" i="25"/>
  <c r="D17" i="25"/>
  <c r="D16" i="25"/>
  <c r="D18" i="26"/>
  <c r="D17" i="26"/>
  <c r="D16" i="26"/>
  <c r="D16" i="27"/>
  <c r="D15" i="27"/>
  <c r="D14" i="27"/>
  <c r="D19" i="17"/>
  <c r="D18" i="17"/>
  <c r="D17" i="17"/>
  <c r="D20" i="18"/>
  <c r="D19" i="18"/>
  <c r="D18" i="18"/>
  <c r="D20" i="19"/>
  <c r="D19" i="19"/>
  <c r="D18" i="19"/>
  <c r="C19" i="18"/>
  <c r="B14" i="27" l="1"/>
  <c r="B15" i="27"/>
  <c r="B16" i="27"/>
  <c r="B17" i="27"/>
  <c r="C20" i="17"/>
  <c r="D20" i="17"/>
  <c r="E20" i="17"/>
  <c r="F20" i="17"/>
  <c r="G20" i="17"/>
  <c r="B20" i="17"/>
  <c r="E19" i="17"/>
  <c r="F19" i="17"/>
  <c r="G19" i="17"/>
  <c r="C19" i="17"/>
  <c r="B19" i="17"/>
  <c r="E18" i="17"/>
  <c r="F18" i="17"/>
  <c r="G18" i="17"/>
  <c r="C18" i="17"/>
  <c r="B18" i="17"/>
  <c r="E17" i="17"/>
  <c r="F17" i="17"/>
  <c r="G17" i="17"/>
  <c r="C17" i="17"/>
  <c r="B17" i="17"/>
  <c r="E16" i="27"/>
  <c r="F16" i="27"/>
  <c r="G16" i="27"/>
  <c r="C16" i="27"/>
  <c r="C17" i="27"/>
  <c r="D17" i="27"/>
  <c r="E17" i="27"/>
  <c r="F17" i="27"/>
  <c r="G17" i="27"/>
  <c r="E15" i="27"/>
  <c r="F15" i="27"/>
  <c r="G15" i="27"/>
  <c r="C15" i="27"/>
  <c r="E14" i="27"/>
  <c r="F14" i="27"/>
  <c r="G14" i="27"/>
  <c r="C14" i="27"/>
  <c r="G19" i="25"/>
  <c r="F19" i="25"/>
  <c r="E19" i="25"/>
  <c r="D19" i="25"/>
  <c r="C19" i="25"/>
  <c r="B19" i="25"/>
  <c r="G18" i="25"/>
  <c r="F18" i="25"/>
  <c r="E18" i="25"/>
  <c r="C18" i="25"/>
  <c r="B18" i="25"/>
  <c r="G17" i="25"/>
  <c r="F17" i="25"/>
  <c r="E17" i="25"/>
  <c r="B17" i="25"/>
  <c r="G16" i="25"/>
  <c r="F16" i="25"/>
  <c r="E16" i="25"/>
  <c r="C16" i="25"/>
  <c r="B16" i="25"/>
  <c r="G19" i="26"/>
  <c r="F19" i="26"/>
  <c r="E19" i="26"/>
  <c r="D19" i="26"/>
  <c r="C19" i="26"/>
  <c r="B19" i="26"/>
  <c r="G18" i="26"/>
  <c r="F18" i="26"/>
  <c r="E18" i="26"/>
  <c r="C18" i="26"/>
  <c r="B18" i="26"/>
  <c r="G17" i="26"/>
  <c r="F17" i="26"/>
  <c r="E17" i="26"/>
  <c r="C17" i="26"/>
  <c r="B17" i="26"/>
  <c r="G16" i="26"/>
  <c r="F16" i="26"/>
  <c r="E16" i="26"/>
  <c r="C16" i="26"/>
  <c r="B16" i="26"/>
  <c r="C17" i="25" l="1"/>
  <c r="E18" i="18"/>
  <c r="F18" i="18"/>
  <c r="G18" i="18"/>
  <c r="E19" i="18"/>
  <c r="F19" i="18"/>
  <c r="G19" i="18"/>
  <c r="D21" i="18"/>
  <c r="E21" i="18"/>
  <c r="F21" i="18"/>
  <c r="G21" i="18"/>
  <c r="E20" i="18"/>
  <c r="F20" i="18"/>
  <c r="G20" i="18"/>
  <c r="C20" i="18"/>
  <c r="B20" i="18"/>
  <c r="C21" i="18"/>
  <c r="B21" i="18"/>
  <c r="B19" i="18"/>
  <c r="C18" i="18"/>
  <c r="B18" i="18"/>
  <c r="B18" i="19"/>
  <c r="E20" i="19"/>
  <c r="F20" i="19"/>
  <c r="G20" i="19"/>
  <c r="C20" i="19"/>
  <c r="B20" i="19"/>
  <c r="C21" i="19"/>
  <c r="D21" i="19"/>
  <c r="E21" i="19"/>
  <c r="F21" i="19"/>
  <c r="G21" i="19"/>
  <c r="E19" i="19"/>
  <c r="F19" i="19"/>
  <c r="G19" i="19"/>
  <c r="C19" i="19"/>
  <c r="B19" i="19"/>
  <c r="B21" i="19"/>
  <c r="E18" i="19"/>
  <c r="F18" i="19"/>
  <c r="G18" i="19"/>
  <c r="C18" i="19"/>
  <c r="E17" i="24" l="1"/>
  <c r="F17" i="24"/>
  <c r="G17" i="24"/>
  <c r="E18" i="24"/>
  <c r="F18" i="24"/>
  <c r="G18" i="24"/>
  <c r="E19" i="24"/>
  <c r="F19" i="24"/>
  <c r="G19" i="24"/>
  <c r="C20" i="24"/>
  <c r="D20" i="24"/>
  <c r="E20" i="24"/>
  <c r="F20" i="24"/>
  <c r="G20" i="24"/>
  <c r="C19" i="24"/>
  <c r="B19" i="24"/>
  <c r="B20" i="24"/>
  <c r="C18" i="24"/>
  <c r="B18" i="24"/>
  <c r="C17" i="24"/>
  <c r="B17" i="24"/>
  <c r="E18" i="23"/>
  <c r="F18" i="23"/>
  <c r="G18" i="23"/>
  <c r="D19" i="23"/>
  <c r="E19" i="23"/>
  <c r="F19" i="23"/>
  <c r="G19" i="23"/>
  <c r="C19" i="23"/>
  <c r="E17" i="23"/>
  <c r="F17" i="23"/>
  <c r="G17" i="23"/>
  <c r="E16" i="23"/>
  <c r="F16" i="23"/>
  <c r="G16" i="23"/>
  <c r="C16" i="23"/>
  <c r="B17" i="23"/>
  <c r="C18" i="22"/>
  <c r="C18" i="23"/>
  <c r="B16" i="23"/>
  <c r="B18" i="23"/>
  <c r="B19" i="23"/>
  <c r="C17" i="23"/>
  <c r="E18" i="22"/>
  <c r="F18" i="22"/>
  <c r="G18" i="22"/>
  <c r="E17" i="22"/>
  <c r="F17" i="22"/>
  <c r="G17" i="22"/>
  <c r="E16" i="22"/>
  <c r="F16" i="22"/>
  <c r="G16" i="22"/>
  <c r="C20" i="21"/>
  <c r="C17" i="22"/>
  <c r="C19" i="21"/>
  <c r="C16" i="22"/>
  <c r="C18" i="21"/>
  <c r="C19" i="22"/>
  <c r="D19" i="22"/>
  <c r="E19" i="22"/>
  <c r="F19" i="22"/>
  <c r="G19" i="22"/>
  <c r="B19" i="22"/>
  <c r="B18" i="22"/>
  <c r="B20" i="21"/>
  <c r="B17" i="22"/>
  <c r="B19" i="21"/>
  <c r="B16" i="22"/>
  <c r="B18" i="21"/>
  <c r="C21" i="21"/>
  <c r="D21" i="21"/>
  <c r="E21" i="21"/>
  <c r="F21" i="21"/>
  <c r="G21" i="21"/>
  <c r="B21" i="21"/>
  <c r="E20" i="21"/>
  <c r="F20" i="21"/>
  <c r="G20" i="21"/>
  <c r="E19" i="21"/>
  <c r="F19" i="21"/>
  <c r="G19" i="21"/>
  <c r="E18" i="21"/>
  <c r="F18" i="21"/>
  <c r="G18" i="21"/>
  <c r="C25" i="20"/>
  <c r="D25" i="20"/>
  <c r="E25" i="20"/>
  <c r="F25" i="20"/>
  <c r="G25" i="20"/>
  <c r="E24" i="20"/>
  <c r="F24" i="20"/>
  <c r="G24" i="20"/>
  <c r="C24" i="20"/>
  <c r="B24" i="20"/>
  <c r="F23" i="20"/>
  <c r="G23" i="20"/>
  <c r="G22" i="20"/>
  <c r="F22" i="20"/>
  <c r="E23" i="20"/>
  <c r="E22" i="20"/>
  <c r="C22" i="20"/>
  <c r="C23" i="20"/>
  <c r="B23" i="20"/>
  <c r="B22" i="20"/>
  <c r="B25" i="20"/>
  <c r="J8" i="19" l="1"/>
  <c r="L14" i="33" s="1"/>
  <c r="J12" i="19"/>
  <c r="I5" i="19"/>
  <c r="J5" i="19" s="1"/>
  <c r="L11" i="33" s="1"/>
  <c r="I8" i="19"/>
  <c r="I9" i="19"/>
  <c r="I12" i="19"/>
  <c r="I21" i="19" s="1"/>
  <c r="I13" i="19"/>
  <c r="H5" i="19"/>
  <c r="H6" i="19"/>
  <c r="I6" i="19" s="1"/>
  <c r="J6" i="19" s="1"/>
  <c r="L12" i="33" s="1"/>
  <c r="H7" i="19"/>
  <c r="I7" i="19" s="1"/>
  <c r="J7" i="19" s="1"/>
  <c r="L27" i="33" s="1"/>
  <c r="H8" i="19"/>
  <c r="H9" i="19"/>
  <c r="H18" i="19" s="1"/>
  <c r="H10" i="19"/>
  <c r="I10" i="19" s="1"/>
  <c r="J10" i="19" s="1"/>
  <c r="L25" i="33" s="1"/>
  <c r="H11" i="19"/>
  <c r="I11" i="19" s="1"/>
  <c r="J11" i="19" s="1"/>
  <c r="L26" i="33" s="1"/>
  <c r="H12" i="19"/>
  <c r="H21" i="19" s="1"/>
  <c r="H13" i="19"/>
  <c r="H14" i="19"/>
  <c r="I14" i="19" s="1"/>
  <c r="J14" i="19" s="1"/>
  <c r="L20" i="33" s="1"/>
  <c r="H4" i="19"/>
  <c r="I4" i="19" s="1"/>
  <c r="H5" i="18"/>
  <c r="I5" i="18" s="1"/>
  <c r="J5" i="18" s="1"/>
  <c r="K11" i="33" s="1"/>
  <c r="H6" i="18"/>
  <c r="I6" i="18" s="1"/>
  <c r="J6" i="18" s="1"/>
  <c r="K12" i="33" s="1"/>
  <c r="H7" i="18"/>
  <c r="I7" i="18" s="1"/>
  <c r="J7" i="18" s="1"/>
  <c r="K27" i="33" s="1"/>
  <c r="H8" i="18"/>
  <c r="I8" i="18" s="1"/>
  <c r="J8" i="18" s="1"/>
  <c r="K14" i="33" s="1"/>
  <c r="H9" i="18"/>
  <c r="H10" i="18"/>
  <c r="I10" i="18" s="1"/>
  <c r="J10" i="18" s="1"/>
  <c r="K25" i="33" s="1"/>
  <c r="H11" i="18"/>
  <c r="I11" i="18" s="1"/>
  <c r="J11" i="18" s="1"/>
  <c r="K26" i="33" s="1"/>
  <c r="H12" i="18"/>
  <c r="H21" i="18" s="1"/>
  <c r="H13" i="18"/>
  <c r="H14" i="18"/>
  <c r="I14" i="18" s="1"/>
  <c r="J14" i="18" s="1"/>
  <c r="H15" i="18"/>
  <c r="I15" i="18" s="1"/>
  <c r="J15" i="18" s="1"/>
  <c r="H4" i="18"/>
  <c r="I5" i="17"/>
  <c r="J5" i="17" s="1"/>
  <c r="J11" i="33" s="1"/>
  <c r="I8" i="17"/>
  <c r="J8" i="17" s="1"/>
  <c r="J14" i="33" s="1"/>
  <c r="I9" i="17"/>
  <c r="J9" i="17" s="1"/>
  <c r="J24" i="33" s="1"/>
  <c r="I12" i="17"/>
  <c r="J12" i="17" s="1"/>
  <c r="I13" i="17"/>
  <c r="J13" i="17" s="1"/>
  <c r="J21" i="33" s="1"/>
  <c r="H5" i="17"/>
  <c r="H6" i="17"/>
  <c r="I6" i="17" s="1"/>
  <c r="J6" i="17" s="1"/>
  <c r="J12" i="33" s="1"/>
  <c r="H7" i="17"/>
  <c r="H17" i="17" s="1"/>
  <c r="H8" i="17"/>
  <c r="H9" i="17"/>
  <c r="H10" i="17"/>
  <c r="H20" i="17" s="1"/>
  <c r="H11" i="17"/>
  <c r="H19" i="17" s="1"/>
  <c r="H12" i="17"/>
  <c r="H13" i="17"/>
  <c r="H4" i="17"/>
  <c r="H18" i="17" s="1"/>
  <c r="I8" i="27"/>
  <c r="J8" i="27" s="1"/>
  <c r="I14" i="33" s="1"/>
  <c r="I12" i="27"/>
  <c r="J12" i="27" s="1"/>
  <c r="I21" i="33" s="1"/>
  <c r="H5" i="27"/>
  <c r="I5" i="27" s="1"/>
  <c r="J5" i="27" s="1"/>
  <c r="I11" i="33" s="1"/>
  <c r="H6" i="27"/>
  <c r="I6" i="27" s="1"/>
  <c r="J6" i="27" s="1"/>
  <c r="I12" i="33" s="1"/>
  <c r="H7" i="27"/>
  <c r="H14" i="27" s="1"/>
  <c r="H8" i="27"/>
  <c r="H9" i="27"/>
  <c r="H17" i="27" s="1"/>
  <c r="H10" i="27"/>
  <c r="H11" i="27"/>
  <c r="I11" i="27" s="1"/>
  <c r="J11" i="27" s="1"/>
  <c r="I20" i="33" s="1"/>
  <c r="H12" i="27"/>
  <c r="H4" i="27"/>
  <c r="I5" i="26"/>
  <c r="J5" i="26" s="1"/>
  <c r="H11" i="33" s="1"/>
  <c r="I9" i="26"/>
  <c r="J9" i="26" s="1"/>
  <c r="I4" i="26"/>
  <c r="J4" i="26" s="1"/>
  <c r="H5" i="26"/>
  <c r="H6" i="26"/>
  <c r="I6" i="26" s="1"/>
  <c r="J6" i="26" s="1"/>
  <c r="H12" i="33" s="1"/>
  <c r="H7" i="26"/>
  <c r="H8" i="26"/>
  <c r="I8" i="26" s="1"/>
  <c r="J8" i="26" s="1"/>
  <c r="H27" i="33" s="1"/>
  <c r="H9" i="26"/>
  <c r="H10" i="26"/>
  <c r="H11" i="26"/>
  <c r="I11" i="26" s="1"/>
  <c r="J11" i="26" s="1"/>
  <c r="H21" i="33" s="1"/>
  <c r="H12" i="26"/>
  <c r="H19" i="26" s="1"/>
  <c r="H4" i="26"/>
  <c r="H17" i="26" s="1"/>
  <c r="I4" i="25"/>
  <c r="I7" i="25"/>
  <c r="I8" i="25"/>
  <c r="J8" i="25" s="1"/>
  <c r="G27" i="33" s="1"/>
  <c r="I11" i="25"/>
  <c r="I12" i="25"/>
  <c r="J12" i="25" s="1"/>
  <c r="G21" i="33" s="1"/>
  <c r="H4" i="25"/>
  <c r="H5" i="25"/>
  <c r="I5" i="25" s="1"/>
  <c r="J5" i="25" s="1"/>
  <c r="G11" i="33" s="1"/>
  <c r="H6" i="25"/>
  <c r="I6" i="25" s="1"/>
  <c r="J6" i="25" s="1"/>
  <c r="G12" i="33" s="1"/>
  <c r="H7" i="25"/>
  <c r="H8" i="25"/>
  <c r="H9" i="25"/>
  <c r="I9" i="25" s="1"/>
  <c r="J9" i="25" s="1"/>
  <c r="G14" i="33" s="1"/>
  <c r="H10" i="25"/>
  <c r="I10" i="25" s="1"/>
  <c r="J10" i="25" s="1"/>
  <c r="G23" i="33" s="1"/>
  <c r="H11" i="25"/>
  <c r="H18" i="25" s="1"/>
  <c r="H12" i="25"/>
  <c r="H13" i="25"/>
  <c r="H19" i="25" s="1"/>
  <c r="J5" i="24"/>
  <c r="F11" i="33" s="1"/>
  <c r="I5" i="24"/>
  <c r="I6" i="24"/>
  <c r="J6" i="24" s="1"/>
  <c r="F12" i="33" s="1"/>
  <c r="I9" i="24"/>
  <c r="J9" i="24" s="1"/>
  <c r="F14" i="33" s="1"/>
  <c r="I10" i="24"/>
  <c r="J10" i="24" s="1"/>
  <c r="I13" i="24"/>
  <c r="J13" i="24" s="1"/>
  <c r="H4" i="24"/>
  <c r="H18" i="24" s="1"/>
  <c r="H5" i="24"/>
  <c r="H6" i="24"/>
  <c r="H7" i="24"/>
  <c r="H8" i="24"/>
  <c r="I8" i="24" s="1"/>
  <c r="J8" i="24" s="1"/>
  <c r="F27" i="33" s="1"/>
  <c r="H9" i="24"/>
  <c r="H10" i="24"/>
  <c r="H11" i="24"/>
  <c r="H20" i="24" s="1"/>
  <c r="H12" i="24"/>
  <c r="H19" i="24" s="1"/>
  <c r="H13" i="24"/>
  <c r="H5" i="23"/>
  <c r="H6" i="23"/>
  <c r="I6" i="23" s="1"/>
  <c r="J6" i="23" s="1"/>
  <c r="E12" i="33" s="1"/>
  <c r="H7" i="23"/>
  <c r="I7" i="23" s="1"/>
  <c r="J7" i="23" s="1"/>
  <c r="E13" i="33" s="1"/>
  <c r="H8" i="23"/>
  <c r="H9" i="23"/>
  <c r="I9" i="23" s="1"/>
  <c r="J9" i="23" s="1"/>
  <c r="E14" i="33" s="1"/>
  <c r="H10" i="23"/>
  <c r="I10" i="23" s="1"/>
  <c r="J10" i="23" s="1"/>
  <c r="H11" i="23"/>
  <c r="I11" i="23" s="1"/>
  <c r="J11" i="23" s="1"/>
  <c r="E19" i="33" s="1"/>
  <c r="H12" i="23"/>
  <c r="I12" i="23" s="1"/>
  <c r="J12" i="23" s="1"/>
  <c r="E20" i="33" s="1"/>
  <c r="H13" i="23"/>
  <c r="H14" i="23"/>
  <c r="H4" i="23"/>
  <c r="I4" i="23" s="1"/>
  <c r="J4" i="23" s="1"/>
  <c r="E10" i="33" s="1"/>
  <c r="I7" i="22"/>
  <c r="I8" i="22"/>
  <c r="J8" i="22" s="1"/>
  <c r="D27" i="33" s="1"/>
  <c r="I11" i="22"/>
  <c r="J11" i="22" s="1"/>
  <c r="D19" i="33" s="1"/>
  <c r="I12" i="22"/>
  <c r="I4" i="22"/>
  <c r="H5" i="22"/>
  <c r="I5" i="22" s="1"/>
  <c r="J5" i="22" s="1"/>
  <c r="D11" i="33" s="1"/>
  <c r="H6" i="22"/>
  <c r="I6" i="22" s="1"/>
  <c r="J6" i="22" s="1"/>
  <c r="D12" i="33" s="1"/>
  <c r="H7" i="22"/>
  <c r="H8" i="22"/>
  <c r="H9" i="22"/>
  <c r="I9" i="22" s="1"/>
  <c r="J9" i="22" s="1"/>
  <c r="D14" i="33" s="1"/>
  <c r="H10" i="22"/>
  <c r="I10" i="22" s="1"/>
  <c r="J10" i="22" s="1"/>
  <c r="H11" i="22"/>
  <c r="H12" i="22"/>
  <c r="H13" i="22"/>
  <c r="I13" i="22" s="1"/>
  <c r="J13" i="22" s="1"/>
  <c r="D21" i="33" s="1"/>
  <c r="H14" i="22"/>
  <c r="H19" i="22" s="1"/>
  <c r="H4" i="22"/>
  <c r="J6" i="21"/>
  <c r="C12" i="33" s="1"/>
  <c r="J10" i="21"/>
  <c r="J14" i="21"/>
  <c r="I6" i="21"/>
  <c r="I7" i="21"/>
  <c r="I10" i="21"/>
  <c r="I11" i="21"/>
  <c r="J11" i="21" s="1"/>
  <c r="C19" i="33" s="1"/>
  <c r="I14" i="21"/>
  <c r="I21" i="21" s="1"/>
  <c r="I4" i="21"/>
  <c r="H5" i="21"/>
  <c r="I5" i="21" s="1"/>
  <c r="J5" i="21" s="1"/>
  <c r="C11" i="33" s="1"/>
  <c r="H6" i="21"/>
  <c r="H7" i="21"/>
  <c r="H8" i="21"/>
  <c r="I8" i="21" s="1"/>
  <c r="J8" i="21" s="1"/>
  <c r="C27" i="33" s="1"/>
  <c r="H9" i="21"/>
  <c r="I9" i="21" s="1"/>
  <c r="J9" i="21" s="1"/>
  <c r="C14" i="33" s="1"/>
  <c r="H10" i="21"/>
  <c r="H11" i="21"/>
  <c r="H12" i="21"/>
  <c r="H20" i="21" s="1"/>
  <c r="H13" i="21"/>
  <c r="I13" i="21" s="1"/>
  <c r="J13" i="21" s="1"/>
  <c r="C21" i="33" s="1"/>
  <c r="H14" i="21"/>
  <c r="H21" i="21" s="1"/>
  <c r="H4" i="21"/>
  <c r="H19" i="21" s="1"/>
  <c r="J16" i="20"/>
  <c r="I7" i="20"/>
  <c r="J7" i="20" s="1"/>
  <c r="I11" i="20"/>
  <c r="J11" i="20" s="1"/>
  <c r="B17" i="33" s="1"/>
  <c r="I15" i="20"/>
  <c r="J15" i="20" s="1"/>
  <c r="B21" i="33" s="1"/>
  <c r="I16" i="20"/>
  <c r="I25" i="20" s="1"/>
  <c r="H16" i="20"/>
  <c r="H25" i="20" s="1"/>
  <c r="H15" i="20"/>
  <c r="H14" i="20"/>
  <c r="I14" i="20" s="1"/>
  <c r="J14" i="20" s="1"/>
  <c r="B20" i="33" s="1"/>
  <c r="H13" i="20"/>
  <c r="I13" i="20" s="1"/>
  <c r="J13" i="20" s="1"/>
  <c r="B19" i="33" s="1"/>
  <c r="H12" i="20"/>
  <c r="I12" i="20" s="1"/>
  <c r="J12" i="20" s="1"/>
  <c r="B18" i="33" s="1"/>
  <c r="H11" i="20"/>
  <c r="H10" i="20"/>
  <c r="I10" i="20" s="1"/>
  <c r="J10" i="20" s="1"/>
  <c r="B16" i="33" s="1"/>
  <c r="H9" i="20"/>
  <c r="I9" i="20" s="1"/>
  <c r="H8" i="20"/>
  <c r="I8" i="20" s="1"/>
  <c r="J8" i="20" s="1"/>
  <c r="B14" i="33" s="1"/>
  <c r="H7" i="20"/>
  <c r="H22" i="20" s="1"/>
  <c r="H6" i="20"/>
  <c r="I6" i="20" s="1"/>
  <c r="J6" i="20" s="1"/>
  <c r="B12" i="33" s="1"/>
  <c r="H5" i="20"/>
  <c r="I5" i="20" s="1"/>
  <c r="J5" i="20" s="1"/>
  <c r="B11" i="33" s="1"/>
  <c r="H4" i="20"/>
  <c r="F19" i="33" l="1"/>
  <c r="F17" i="33"/>
  <c r="F18" i="33"/>
  <c r="K20" i="33"/>
  <c r="K21" i="33"/>
  <c r="H10" i="33"/>
  <c r="J17" i="26"/>
  <c r="B13" i="33"/>
  <c r="J22" i="20"/>
  <c r="I24" i="20"/>
  <c r="J9" i="20"/>
  <c r="H14" i="33"/>
  <c r="H23" i="33"/>
  <c r="I19" i="19"/>
  <c r="J4" i="19"/>
  <c r="D18" i="33"/>
  <c r="D17" i="33"/>
  <c r="F21" i="33"/>
  <c r="F22" i="33"/>
  <c r="I18" i="21"/>
  <c r="I18" i="22"/>
  <c r="H18" i="21"/>
  <c r="H18" i="22"/>
  <c r="I17" i="22"/>
  <c r="I16" i="22"/>
  <c r="I13" i="23"/>
  <c r="H18" i="23"/>
  <c r="I5" i="23"/>
  <c r="H17" i="23"/>
  <c r="H17" i="24"/>
  <c r="I18" i="25"/>
  <c r="I16" i="25"/>
  <c r="H16" i="26"/>
  <c r="I12" i="26"/>
  <c r="H16" i="27"/>
  <c r="I7" i="27"/>
  <c r="H20" i="19"/>
  <c r="I22" i="20"/>
  <c r="I19" i="21"/>
  <c r="C22" i="33"/>
  <c r="J21" i="21"/>
  <c r="I17" i="25"/>
  <c r="I17" i="26"/>
  <c r="I20" i="19"/>
  <c r="L23" i="33"/>
  <c r="J21" i="19"/>
  <c r="H23" i="20"/>
  <c r="H17" i="22"/>
  <c r="H16" i="22"/>
  <c r="I14" i="22"/>
  <c r="J12" i="22"/>
  <c r="J4" i="22"/>
  <c r="I8" i="23"/>
  <c r="H16" i="23"/>
  <c r="I12" i="24"/>
  <c r="I4" i="24"/>
  <c r="H17" i="25"/>
  <c r="J4" i="25"/>
  <c r="H18" i="26"/>
  <c r="I7" i="26"/>
  <c r="H15" i="27"/>
  <c r="I10" i="27"/>
  <c r="I11" i="17"/>
  <c r="I7" i="17"/>
  <c r="H20" i="18"/>
  <c r="H18" i="18"/>
  <c r="I13" i="18"/>
  <c r="I9" i="18"/>
  <c r="B22" i="33"/>
  <c r="J25" i="20"/>
  <c r="I14" i="23"/>
  <c r="H19" i="23"/>
  <c r="E18" i="33"/>
  <c r="E17" i="33"/>
  <c r="I18" i="19"/>
  <c r="H24" i="20"/>
  <c r="I4" i="20"/>
  <c r="I12" i="21"/>
  <c r="J4" i="21"/>
  <c r="J7" i="21"/>
  <c r="J7" i="22"/>
  <c r="I11" i="24"/>
  <c r="I7" i="24"/>
  <c r="H16" i="25"/>
  <c r="I13" i="25"/>
  <c r="J11" i="25"/>
  <c r="J7" i="25"/>
  <c r="I10" i="26"/>
  <c r="I4" i="27"/>
  <c r="I9" i="27"/>
  <c r="I4" i="17"/>
  <c r="I10" i="17"/>
  <c r="H19" i="18"/>
  <c r="I4" i="18"/>
  <c r="I12" i="18"/>
  <c r="H19" i="19"/>
  <c r="J13" i="19"/>
  <c r="J9" i="19"/>
  <c r="I18" i="26" l="1"/>
  <c r="J10" i="26"/>
  <c r="H20" i="33" s="1"/>
  <c r="I18" i="18"/>
  <c r="J9" i="18"/>
  <c r="I16" i="26"/>
  <c r="J7" i="26"/>
  <c r="I18" i="24"/>
  <c r="J4" i="24"/>
  <c r="D10" i="33"/>
  <c r="J17" i="22"/>
  <c r="I21" i="18"/>
  <c r="J12" i="18"/>
  <c r="I18" i="17"/>
  <c r="J4" i="17"/>
  <c r="G13" i="33"/>
  <c r="J16" i="25"/>
  <c r="I17" i="24"/>
  <c r="J7" i="24"/>
  <c r="C10" i="33"/>
  <c r="J19" i="21"/>
  <c r="J14" i="23"/>
  <c r="I19" i="23"/>
  <c r="I20" i="18"/>
  <c r="J13" i="18"/>
  <c r="I19" i="17"/>
  <c r="J11" i="17"/>
  <c r="I19" i="24"/>
  <c r="J12" i="24"/>
  <c r="D20" i="33"/>
  <c r="J18" i="22"/>
  <c r="L10" i="33"/>
  <c r="J19" i="19"/>
  <c r="B15" i="33"/>
  <c r="J24" i="20"/>
  <c r="C13" i="33"/>
  <c r="J18" i="21"/>
  <c r="L24" i="33"/>
  <c r="J18" i="19"/>
  <c r="I19" i="18"/>
  <c r="J4" i="18"/>
  <c r="I17" i="27"/>
  <c r="J9" i="27"/>
  <c r="G20" i="33"/>
  <c r="J18" i="25"/>
  <c r="I20" i="24"/>
  <c r="J11" i="24"/>
  <c r="I20" i="21"/>
  <c r="J12" i="21"/>
  <c r="I16" i="27"/>
  <c r="J10" i="27"/>
  <c r="G10" i="33"/>
  <c r="J17" i="25"/>
  <c r="I19" i="22"/>
  <c r="J14" i="22"/>
  <c r="I19" i="26"/>
  <c r="J12" i="26"/>
  <c r="J13" i="23"/>
  <c r="I18" i="23"/>
  <c r="I20" i="17"/>
  <c r="J10" i="17"/>
  <c r="I17" i="17"/>
  <c r="J7" i="17"/>
  <c r="I14" i="27"/>
  <c r="J7" i="27"/>
  <c r="J5" i="23"/>
  <c r="I17" i="23"/>
  <c r="L28" i="33"/>
  <c r="J20" i="19"/>
  <c r="I15" i="27"/>
  <c r="J4" i="27"/>
  <c r="I19" i="25"/>
  <c r="J13" i="25"/>
  <c r="D13" i="33"/>
  <c r="J16" i="22"/>
  <c r="I23" i="20"/>
  <c r="J4" i="20"/>
  <c r="J8" i="23"/>
  <c r="I16" i="23"/>
  <c r="I10" i="33" l="1"/>
  <c r="J15" i="27"/>
  <c r="J27" i="33"/>
  <c r="J17" i="17"/>
  <c r="D22" i="33"/>
  <c r="J19" i="22"/>
  <c r="I28" i="33"/>
  <c r="J16" i="27"/>
  <c r="F23" i="33"/>
  <c r="J20" i="24"/>
  <c r="I23" i="33"/>
  <c r="J17" i="27"/>
  <c r="J28" i="33"/>
  <c r="J19" i="17"/>
  <c r="F13" i="33"/>
  <c r="J17" i="24"/>
  <c r="J10" i="33"/>
  <c r="J18" i="17"/>
  <c r="H13" i="33"/>
  <c r="J16" i="26"/>
  <c r="E11" i="33"/>
  <c r="J17" i="23"/>
  <c r="E21" i="33"/>
  <c r="J18" i="23"/>
  <c r="E22" i="33"/>
  <c r="J19" i="23"/>
  <c r="J18" i="26"/>
  <c r="E27" i="33"/>
  <c r="J16" i="23"/>
  <c r="B10" i="33"/>
  <c r="J23" i="20"/>
  <c r="G22" i="33"/>
  <c r="J19" i="25"/>
  <c r="I27" i="33"/>
  <c r="J14" i="27"/>
  <c r="J23" i="33"/>
  <c r="J20" i="17"/>
  <c r="H22" i="33"/>
  <c r="J19" i="26"/>
  <c r="C20" i="33"/>
  <c r="J20" i="21"/>
  <c r="K10" i="33"/>
  <c r="J19" i="18"/>
  <c r="F20" i="33"/>
  <c r="J19" i="24"/>
  <c r="K28" i="33"/>
  <c r="J20" i="18"/>
  <c r="K23" i="33"/>
  <c r="J21" i="18"/>
  <c r="F10" i="33"/>
  <c r="J18" i="24"/>
  <c r="K24" i="33"/>
  <c r="J18" i="18"/>
</calcChain>
</file>

<file path=xl/sharedStrings.xml><?xml version="1.0" encoding="utf-8"?>
<sst xmlns="http://schemas.openxmlformats.org/spreadsheetml/2006/main" count="549" uniqueCount="64">
  <si>
    <t>N Asientos</t>
  </si>
  <si>
    <t>Eficiencia media</t>
  </si>
  <si>
    <t>MODELO (OACI)</t>
  </si>
  <si>
    <t>TIPO DE AVIÓN</t>
  </si>
  <si>
    <t>Largo alcance</t>
  </si>
  <si>
    <t>Medio alcance</t>
  </si>
  <si>
    <t>Corto alcance (Jet)</t>
  </si>
  <si>
    <t>Corto alcance (Hélice)</t>
  </si>
  <si>
    <t>Factor de ocupacion ese año</t>
  </si>
  <si>
    <t>Distancia media (km)</t>
  </si>
  <si>
    <t>Combustible medio (kg)</t>
  </si>
  <si>
    <t>Etapa media (h)</t>
  </si>
  <si>
    <t>Flota Total</t>
  </si>
  <si>
    <t>Operaciones Semana</t>
  </si>
  <si>
    <t>Operaciones Semana
total</t>
  </si>
  <si>
    <t>Horas Bloque Semana (h)</t>
  </si>
  <si>
    <t>Utilizacion Diaria</t>
  </si>
  <si>
    <t>Horas Bloque (h)
total</t>
  </si>
  <si>
    <t xml:space="preserve">Utilizacion Diaria </t>
  </si>
  <si>
    <t>N Asientos
medio</t>
  </si>
  <si>
    <t>Compañía Aerea Analizada</t>
  </si>
  <si>
    <t>Hipotesis y decisiones</t>
  </si>
  <si>
    <t>Bibliografía de referencia</t>
  </si>
  <si>
    <t>Datos de ocupación:</t>
  </si>
  <si>
    <t>Datos de flota:</t>
  </si>
  <si>
    <t>…</t>
  </si>
  <si>
    <t>Cálculo de etapa media</t>
  </si>
  <si>
    <t>Asientos</t>
  </si>
  <si>
    <t>Comentarios</t>
  </si>
  <si>
    <t>Corto-Medio alcance</t>
  </si>
  <si>
    <t>Reginal (turbohelice)</t>
  </si>
  <si>
    <t>Regional (reactor)</t>
  </si>
  <si>
    <t>Componente:</t>
  </si>
  <si>
    <t>Número de Grupo:</t>
  </si>
  <si>
    <t>A319</t>
  </si>
  <si>
    <t>A320</t>
  </si>
  <si>
    <t>A321</t>
  </si>
  <si>
    <t>A333</t>
  </si>
  <si>
    <t>A343</t>
  </si>
  <si>
    <t>F100</t>
  </si>
  <si>
    <t>E190</t>
  </si>
  <si>
    <t>BCS1</t>
  </si>
  <si>
    <t>BCS3</t>
  </si>
  <si>
    <t>DH8C</t>
  </si>
  <si>
    <t>RJ1H</t>
  </si>
  <si>
    <t>A332</t>
  </si>
  <si>
    <t>SB20</t>
  </si>
  <si>
    <t>B733</t>
  </si>
  <si>
    <t>B738</t>
  </si>
  <si>
    <t>B77W</t>
  </si>
  <si>
    <t>B461</t>
  </si>
  <si>
    <t>B463</t>
  </si>
  <si>
    <t>B735</t>
  </si>
  <si>
    <t>G05</t>
  </si>
  <si>
    <t>Marc Barceló Adrover</t>
  </si>
  <si>
    <t>Alejandro Izquierdo Cantero</t>
  </si>
  <si>
    <t>Carlos Sanz Garzón</t>
  </si>
  <si>
    <t>Jorge Usón Bernadaus</t>
  </si>
  <si>
    <t>Swiss International Airlines Ltd</t>
  </si>
  <si>
    <t xml:space="preserve">Web de Swiss Air, Traffic Figure ____ (año), informe pdf </t>
  </si>
  <si>
    <t>Se multiplica la ocupacion diaria en días por 24 para obtenerla en horas</t>
  </si>
  <si>
    <t xml:space="preserve">https://www.swiss.com/es/ES/volar/flota </t>
  </si>
  <si>
    <t>Los modelos que no aparecían, se han buscado en wikipedia y contrastado con asientos de la misma aeronave en otra compañía</t>
  </si>
  <si>
    <t xml:space="preserve">Recuento del número de matrículas distintas de cada modelo de aeronave para cada semana. No cuadraba la información de la flota con la presentada en Airfleet, que además, no pudo ser filtrada por años.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</si>
</sst>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0.000"/>
    <numFmt numFmtId="165" formatCode="0.00000000"/>
    <numFmt numFmtId="166" formatCode="_-* #,##0.000\ _€_-;\-* #,##0.000\ _€_-;_-* &quot;-&quot;??\ _€_-;_-@_-"/>
  </numFmts>
  <fonts count="12" x14ac:knownFonts="1">
    <font>
      <sz val="11"/>
      <color theme="1"/>
      <name val="Calibri"/>
      <family val="2"/>
      <scheme val="minor"/>
    </font>
    <font>
      <b/>
      <sz val="11"/>
      <color rgb="FF3F3F3F"/>
      <name val="Calibri"/>
      <family val="2"/>
      <scheme val="minor"/>
    </font>
    <font>
      <b/>
      <sz val="11"/>
      <color theme="0"/>
      <name val="Calibri"/>
      <family val="2"/>
      <scheme val="minor"/>
    </font>
    <font>
      <sz val="11"/>
      <color rgb="FF3F3F3F"/>
      <name val="Calibri"/>
      <family val="2"/>
      <scheme val="minor"/>
    </font>
    <font>
      <b/>
      <sz val="11"/>
      <color theme="0" tint="-4.9989318521683403E-2"/>
      <name val="Calibri"/>
      <family val="2"/>
      <scheme val="minor"/>
    </font>
    <font>
      <sz val="11"/>
      <color theme="0" tint="-4.9989318521683403E-2"/>
      <name val="Calibri"/>
      <family val="2"/>
      <scheme val="minor"/>
    </font>
    <font>
      <b/>
      <sz val="11"/>
      <name val="Calibri"/>
      <family val="2"/>
      <scheme val="minor"/>
    </font>
    <font>
      <sz val="11"/>
      <name val="Calibri"/>
      <family val="2"/>
      <scheme val="minor"/>
    </font>
    <font>
      <sz val="11"/>
      <color theme="0"/>
      <name val="Calibri"/>
      <family val="2"/>
      <scheme val="minor"/>
    </font>
    <font>
      <b/>
      <sz val="11"/>
      <color theme="0" tint="-4.9989318521683403E-2"/>
      <name val="Calibri"/>
      <scheme val="minor"/>
    </font>
    <font>
      <u/>
      <sz val="11"/>
      <color theme="10"/>
      <name val="Calibri"/>
      <family val="2"/>
      <scheme val="minor"/>
    </font>
    <font>
      <sz val="11"/>
      <color theme="1"/>
      <name val="Calibri"/>
      <family val="2"/>
      <scheme val="minor"/>
    </font>
  </fonts>
  <fills count="12">
    <fill>
      <patternFill patternType="none"/>
    </fill>
    <fill>
      <patternFill patternType="gray125"/>
    </fill>
    <fill>
      <patternFill patternType="solid">
        <fgColor rgb="FFF2F2F2"/>
      </patternFill>
    </fill>
    <fill>
      <patternFill patternType="solid">
        <fgColor rgb="FFA5A5A5"/>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0"/>
        </stop>
        <stop position="1">
          <color theme="1" tint="0.49803155613879818"/>
        </stop>
      </gradientFill>
    </fill>
    <fill>
      <patternFill patternType="solid">
        <fgColor theme="1" tint="0.499984740745262"/>
        <bgColor indexed="64"/>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rgb="FF3F3F3F"/>
      </bottom>
      <diagonal/>
    </border>
    <border>
      <left style="medium">
        <color indexed="64"/>
      </left>
      <right style="medium">
        <color indexed="64"/>
      </right>
      <top/>
      <bottom style="medium">
        <color rgb="FF3F3F3F"/>
      </bottom>
      <diagonal/>
    </border>
    <border>
      <left style="medium">
        <color indexed="64"/>
      </left>
      <right style="medium">
        <color indexed="64"/>
      </right>
      <top/>
      <bottom style="medium">
        <color indexed="64"/>
      </bottom>
      <diagonal/>
    </border>
    <border>
      <left/>
      <right/>
      <top/>
      <bottom style="double">
        <color rgb="FF3F3F3F"/>
      </bottom>
      <diagonal/>
    </border>
    <border>
      <left style="double">
        <color rgb="FF3F3F3F"/>
      </left>
      <right/>
      <top style="double">
        <color rgb="FF3F3F3F"/>
      </top>
      <bottom/>
      <diagonal/>
    </border>
    <border>
      <left/>
      <right/>
      <top style="double">
        <color rgb="FF3F3F3F"/>
      </top>
      <bottom/>
      <diagonal/>
    </border>
    <border>
      <left style="double">
        <color rgb="FF3F3F3F"/>
      </left>
      <right/>
      <top/>
      <bottom style="double">
        <color rgb="FF3F3F3F"/>
      </bottom>
      <diagonal/>
    </border>
    <border>
      <left style="medium">
        <color indexed="64"/>
      </left>
      <right style="medium">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7">
    <xf numFmtId="0" fontId="0" fillId="0" borderId="0"/>
    <xf numFmtId="0" fontId="1" fillId="2" borderId="1" applyNumberFormat="0" applyAlignment="0" applyProtection="0"/>
    <xf numFmtId="0" fontId="2" fillId="3" borderId="2" applyNumberFormat="0" applyAlignment="0" applyProtection="0"/>
    <xf numFmtId="0" fontId="4" fillId="8" borderId="7" applyFont="0" applyBorder="0" applyAlignment="0">
      <alignment horizontal="center" vertical="center"/>
    </xf>
    <xf numFmtId="0" fontId="4" fillId="10" borderId="7" applyFont="0" applyBorder="0" applyAlignment="0">
      <alignment horizontal="center" vertical="center"/>
    </xf>
    <xf numFmtId="0" fontId="10" fillId="0" borderId="0" applyNumberFormat="0" applyFill="0" applyBorder="0" applyAlignment="0" applyProtection="0"/>
    <xf numFmtId="43" fontId="11" fillId="0" borderId="0" applyFont="0" applyFill="0" applyBorder="0" applyAlignment="0" applyProtection="0"/>
  </cellStyleXfs>
  <cellXfs count="149">
    <xf numFmtId="0" fontId="0" fillId="0" borderId="0" xfId="0"/>
    <xf numFmtId="0" fontId="2" fillId="9" borderId="4" xfId="2" applyFill="1" applyBorder="1" applyAlignment="1">
      <alignment vertical="center"/>
    </xf>
    <xf numFmtId="0" fontId="0" fillId="0" borderId="0" xfId="0"/>
    <xf numFmtId="0" fontId="4" fillId="8" borderId="5" xfId="1" applyFont="1" applyFill="1" applyBorder="1" applyAlignment="1">
      <alignment horizontal="center" vertical="center"/>
    </xf>
    <xf numFmtId="0" fontId="4" fillId="8" borderId="5" xfId="1" applyFont="1" applyFill="1" applyBorder="1" applyAlignment="1">
      <alignment horizontal="center"/>
    </xf>
    <xf numFmtId="164" fontId="4" fillId="8" borderId="5" xfId="1" applyNumberFormat="1" applyFont="1" applyFill="1" applyBorder="1" applyAlignment="1">
      <alignment horizontal="center"/>
    </xf>
    <xf numFmtId="0" fontId="1" fillId="5" borderId="5" xfId="1" applyFill="1" applyBorder="1" applyAlignment="1">
      <alignment horizontal="center" vertical="center"/>
    </xf>
    <xf numFmtId="0" fontId="1" fillId="5" borderId="5" xfId="1" applyFill="1" applyBorder="1" applyAlignment="1">
      <alignment horizontal="center"/>
    </xf>
    <xf numFmtId="164" fontId="1" fillId="5" borderId="5" xfId="1" applyNumberFormat="1" applyFill="1" applyBorder="1" applyAlignment="1">
      <alignment horizontal="center"/>
    </xf>
    <xf numFmtId="0" fontId="1" fillId="6" borderId="5" xfId="1" applyFill="1" applyBorder="1" applyAlignment="1">
      <alignment horizontal="center"/>
    </xf>
    <xf numFmtId="0" fontId="1" fillId="6" borderId="5" xfId="1" applyFill="1" applyBorder="1" applyAlignment="1">
      <alignment horizontal="center" vertical="center"/>
    </xf>
    <xf numFmtId="164" fontId="1" fillId="6" borderId="5" xfId="1" applyNumberFormat="1" applyFill="1" applyBorder="1" applyAlignment="1">
      <alignment horizontal="center"/>
    </xf>
    <xf numFmtId="0" fontId="1" fillId="4" borderId="5" xfId="1" applyFill="1" applyBorder="1" applyAlignment="1">
      <alignment horizontal="center"/>
    </xf>
    <xf numFmtId="0" fontId="1" fillId="4" borderId="5" xfId="1" applyFill="1" applyBorder="1" applyAlignment="1">
      <alignment horizontal="center" vertical="center"/>
    </xf>
    <xf numFmtId="164" fontId="1" fillId="4" borderId="5" xfId="1" applyNumberFormat="1" applyFill="1" applyBorder="1" applyAlignment="1">
      <alignment horizontal="center"/>
    </xf>
    <xf numFmtId="0" fontId="5" fillId="8" borderId="6" xfId="0" applyFont="1" applyFill="1" applyBorder="1" applyAlignment="1">
      <alignment horizontal="center" vertical="center"/>
    </xf>
    <xf numFmtId="0" fontId="3" fillId="5"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4" borderId="6" xfId="0" applyFont="1" applyFill="1" applyBorder="1" applyAlignment="1">
      <alignment horizontal="center" vertical="center"/>
    </xf>
    <xf numFmtId="0" fontId="4" fillId="8" borderId="7" xfId="0" applyFont="1" applyFill="1" applyBorder="1" applyAlignment="1">
      <alignment vertical="center"/>
    </xf>
    <xf numFmtId="0" fontId="4" fillId="8" borderId="8" xfId="0" applyFont="1" applyFill="1" applyBorder="1" applyAlignment="1">
      <alignment vertical="center"/>
    </xf>
    <xf numFmtId="0" fontId="1" fillId="5" borderId="8" xfId="0" applyFont="1" applyFill="1" applyBorder="1" applyAlignment="1">
      <alignment vertical="center"/>
    </xf>
    <xf numFmtId="0" fontId="1" fillId="6" borderId="8" xfId="0" applyFont="1" applyFill="1" applyBorder="1" applyAlignment="1">
      <alignment vertical="center"/>
    </xf>
    <xf numFmtId="0" fontId="1" fillId="4" borderId="9" xfId="0" applyFont="1" applyFill="1" applyBorder="1" applyAlignment="1">
      <alignment vertical="center"/>
    </xf>
    <xf numFmtId="0" fontId="2" fillId="9" borderId="4" xfId="2" applyFill="1" applyBorder="1" applyAlignment="1">
      <alignment horizontal="center" vertical="center"/>
    </xf>
    <xf numFmtId="0" fontId="1" fillId="8" borderId="5" xfId="1" applyFill="1" applyBorder="1" applyAlignment="1">
      <alignment horizontal="center" vertical="center"/>
    </xf>
    <xf numFmtId="0" fontId="1" fillId="8" borderId="5" xfId="1" applyFill="1" applyBorder="1" applyAlignment="1">
      <alignment horizontal="center"/>
    </xf>
    <xf numFmtId="0" fontId="3" fillId="8" borderId="6" xfId="0" applyFont="1" applyFill="1" applyBorder="1" applyAlignment="1">
      <alignment horizontal="center" vertical="center"/>
    </xf>
    <xf numFmtId="0" fontId="1" fillId="8" borderId="7" xfId="0" applyFont="1" applyFill="1" applyBorder="1" applyAlignment="1">
      <alignment vertical="center"/>
    </xf>
    <xf numFmtId="0" fontId="2" fillId="9" borderId="4" xfId="2" applyFill="1" applyBorder="1" applyAlignment="1">
      <alignment horizontal="center" vertical="center" wrapText="1"/>
    </xf>
    <xf numFmtId="0" fontId="6" fillId="7" borderId="3" xfId="0" applyFont="1" applyFill="1" applyBorder="1" applyAlignment="1">
      <alignment horizontal="center" vertical="center"/>
    </xf>
    <xf numFmtId="0" fontId="7" fillId="0" borderId="0" xfId="0" applyFont="1"/>
    <xf numFmtId="0" fontId="2" fillId="0" borderId="4" xfId="2" applyFill="1" applyBorder="1" applyAlignment="1">
      <alignment vertical="center"/>
    </xf>
    <xf numFmtId="0" fontId="6" fillId="0" borderId="3" xfId="0" applyFont="1" applyFill="1" applyBorder="1" applyAlignment="1">
      <alignment horizontal="center" vertical="center"/>
    </xf>
    <xf numFmtId="0" fontId="0" fillId="0" borderId="0" xfId="0" applyFill="1"/>
    <xf numFmtId="0" fontId="6" fillId="6" borderId="0" xfId="0" applyFont="1" applyFill="1" applyBorder="1" applyAlignment="1">
      <alignment vertical="center"/>
    </xf>
    <xf numFmtId="0" fontId="7" fillId="6" borderId="0" xfId="0" applyFont="1" applyFill="1" applyBorder="1" applyAlignment="1">
      <alignment horizontal="left" vertical="center"/>
    </xf>
    <xf numFmtId="0" fontId="6" fillId="6" borderId="0" xfId="0" applyFont="1" applyFill="1" applyBorder="1" applyAlignment="1">
      <alignment horizontal="left" vertical="center"/>
    </xf>
    <xf numFmtId="0" fontId="2" fillId="9" borderId="0" xfId="2" applyFill="1" applyBorder="1" applyAlignment="1">
      <alignment vertical="center"/>
    </xf>
    <xf numFmtId="0" fontId="6" fillId="7" borderId="0" xfId="0" applyFont="1" applyFill="1" applyBorder="1" applyAlignment="1">
      <alignment horizontal="left" vertical="center"/>
    </xf>
    <xf numFmtId="0" fontId="6" fillId="7" borderId="3" xfId="0" applyFont="1" applyFill="1" applyBorder="1" applyAlignment="1">
      <alignment horizontal="left" vertical="center"/>
    </xf>
    <xf numFmtId="0" fontId="0" fillId="0" borderId="0" xfId="0" applyAlignment="1">
      <alignment horizontal="center"/>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xf>
    <xf numFmtId="0" fontId="1" fillId="5" borderId="8" xfId="0" applyFont="1" applyFill="1" applyBorder="1" applyAlignment="1">
      <alignment horizontal="center" vertical="center"/>
    </xf>
    <xf numFmtId="0" fontId="1" fillId="6" borderId="8" xfId="0" applyFont="1" applyFill="1" applyBorder="1" applyAlignment="1">
      <alignment horizontal="center" vertical="center"/>
    </xf>
    <xf numFmtId="0" fontId="1" fillId="4" borderId="9" xfId="0" applyFont="1" applyFill="1" applyBorder="1" applyAlignment="1">
      <alignment horizontal="center" vertical="center"/>
    </xf>
    <xf numFmtId="0" fontId="0" fillId="0" borderId="0" xfId="0" applyFill="1" applyBorder="1" applyAlignment="1">
      <alignment horizontal="center"/>
    </xf>
    <xf numFmtId="0" fontId="7" fillId="0" borderId="0" xfId="0" applyFont="1" applyAlignment="1">
      <alignment horizontal="center"/>
    </xf>
    <xf numFmtId="0" fontId="1" fillId="8" borderId="7" xfId="0" applyFont="1" applyFill="1" applyBorder="1" applyAlignment="1">
      <alignment horizontal="center" vertical="center"/>
    </xf>
    <xf numFmtId="0" fontId="2" fillId="9" borderId="11" xfId="2" applyFill="1" applyBorder="1" applyAlignment="1">
      <alignment horizontal="center" vertical="center"/>
    </xf>
    <xf numFmtId="0" fontId="2" fillId="9" borderId="13" xfId="2" applyFill="1" applyBorder="1" applyAlignment="1">
      <alignment horizontal="center" vertical="center"/>
    </xf>
    <xf numFmtId="0" fontId="2" fillId="9" borderId="13" xfId="2" applyFill="1" applyBorder="1" applyAlignment="1">
      <alignment horizontal="center" vertical="center" wrapText="1"/>
    </xf>
    <xf numFmtId="0" fontId="0" fillId="0" borderId="0" xfId="0" applyBorder="1"/>
    <xf numFmtId="0" fontId="8" fillId="7" borderId="0" xfId="0" applyFont="1" applyFill="1" applyBorder="1"/>
    <xf numFmtId="0" fontId="2" fillId="7" borderId="0" xfId="1" applyFont="1" applyFill="1" applyBorder="1" applyAlignment="1">
      <alignment horizontal="center"/>
    </xf>
    <xf numFmtId="0" fontId="2" fillId="9" borderId="13" xfId="2" applyFill="1" applyBorder="1" applyAlignment="1">
      <alignment horizontal="center"/>
    </xf>
    <xf numFmtId="0" fontId="1" fillId="8" borderId="7" xfId="0" applyFont="1" applyFill="1" applyBorder="1" applyAlignment="1">
      <alignment horizontal="center"/>
    </xf>
    <xf numFmtId="0" fontId="1" fillId="5" borderId="8" xfId="0" applyFont="1" applyFill="1" applyBorder="1" applyAlignment="1">
      <alignment horizontal="center"/>
    </xf>
    <xf numFmtId="0" fontId="1" fillId="6" borderId="8" xfId="0" applyFont="1" applyFill="1" applyBorder="1" applyAlignment="1">
      <alignment horizontal="center"/>
    </xf>
    <xf numFmtId="0" fontId="3" fillId="8" borderId="6" xfId="0" applyFont="1" applyFill="1" applyBorder="1" applyAlignment="1">
      <alignment horizontal="center"/>
    </xf>
    <xf numFmtId="0" fontId="3" fillId="5" borderId="6" xfId="0" applyFont="1" applyFill="1" applyBorder="1" applyAlignment="1">
      <alignment horizontal="center"/>
    </xf>
    <xf numFmtId="0" fontId="3" fillId="6" borderId="6" xfId="0" applyFont="1" applyFill="1" applyBorder="1" applyAlignment="1">
      <alignment horizontal="center"/>
    </xf>
    <xf numFmtId="0" fontId="1" fillId="4" borderId="14" xfId="0" applyFont="1" applyFill="1" applyBorder="1" applyAlignment="1">
      <alignment horizontal="center"/>
    </xf>
    <xf numFmtId="0" fontId="3" fillId="4" borderId="15" xfId="0" applyFont="1" applyFill="1" applyBorder="1" applyAlignment="1">
      <alignment horizontal="center"/>
    </xf>
    <xf numFmtId="0" fontId="9" fillId="11" borderId="5" xfId="1" applyFont="1" applyFill="1" applyBorder="1" applyAlignment="1">
      <alignment horizontal="center" vertical="center"/>
    </xf>
    <xf numFmtId="0" fontId="9" fillId="11" borderId="5" xfId="1" applyFont="1" applyFill="1" applyBorder="1" applyAlignment="1">
      <alignment horizontal="center"/>
    </xf>
    <xf numFmtId="1" fontId="1" fillId="8" borderId="5" xfId="1" applyNumberFormat="1" applyFill="1" applyBorder="1" applyAlignment="1">
      <alignment horizontal="center"/>
    </xf>
    <xf numFmtId="1" fontId="1" fillId="5" borderId="5" xfId="1" applyNumberFormat="1" applyFill="1" applyBorder="1" applyAlignment="1">
      <alignment horizontal="center"/>
    </xf>
    <xf numFmtId="1" fontId="1" fillId="6" borderId="5" xfId="1" applyNumberFormat="1" applyFill="1" applyBorder="1" applyAlignment="1">
      <alignment horizontal="center"/>
    </xf>
    <xf numFmtId="1" fontId="1" fillId="4" borderId="5" xfId="1" applyNumberFormat="1" applyFill="1" applyBorder="1" applyAlignment="1">
      <alignment horizontal="center"/>
    </xf>
    <xf numFmtId="165" fontId="1" fillId="5" borderId="5" xfId="1" applyNumberFormat="1" applyFill="1" applyBorder="1" applyAlignment="1">
      <alignment horizontal="center"/>
    </xf>
    <xf numFmtId="165" fontId="1" fillId="6" borderId="5" xfId="1" applyNumberFormat="1" applyFill="1" applyBorder="1" applyAlignment="1">
      <alignment horizontal="center"/>
    </xf>
    <xf numFmtId="0" fontId="0" fillId="7" borderId="0" xfId="0" applyFill="1" applyBorder="1" applyAlignment="1">
      <alignment horizontal="center"/>
    </xf>
    <xf numFmtId="0" fontId="0" fillId="7" borderId="0" xfId="0" applyFill="1" applyBorder="1"/>
    <xf numFmtId="0" fontId="2" fillId="7" borderId="0" xfId="2" applyFill="1" applyBorder="1" applyAlignment="1">
      <alignment horizontal="center" vertical="center"/>
    </xf>
    <xf numFmtId="0" fontId="4" fillId="7" borderId="0" xfId="0" applyFont="1" applyFill="1" applyBorder="1" applyAlignment="1">
      <alignment horizontal="center" vertical="center"/>
    </xf>
    <xf numFmtId="165" fontId="4" fillId="7" borderId="0" xfId="1" applyNumberFormat="1" applyFont="1" applyFill="1" applyBorder="1" applyAlignment="1">
      <alignment horizontal="center"/>
    </xf>
    <xf numFmtId="0" fontId="1" fillId="7" borderId="0" xfId="0" applyFont="1" applyFill="1" applyBorder="1" applyAlignment="1">
      <alignment horizontal="center" vertical="center"/>
    </xf>
    <xf numFmtId="165" fontId="1" fillId="8" borderId="5" xfId="1" applyNumberFormat="1" applyFill="1" applyBorder="1" applyAlignment="1">
      <alignment horizontal="center"/>
    </xf>
    <xf numFmtId="165" fontId="1" fillId="4" borderId="5" xfId="1" applyNumberFormat="1" applyFill="1" applyBorder="1" applyAlignment="1">
      <alignment horizontal="center"/>
    </xf>
    <xf numFmtId="0" fontId="10" fillId="6" borderId="0" xfId="5" applyFill="1" applyBorder="1" applyAlignment="1">
      <alignment horizontal="left" vertical="center"/>
    </xf>
    <xf numFmtId="164" fontId="1" fillId="5" borderId="5" xfId="1" applyNumberFormat="1" applyFill="1" applyBorder="1" applyAlignment="1">
      <alignment horizontal="center" vertical="center"/>
    </xf>
    <xf numFmtId="164" fontId="1" fillId="6" borderId="5" xfId="1" applyNumberFormat="1" applyFill="1" applyBorder="1" applyAlignment="1">
      <alignment horizontal="center" vertical="center"/>
    </xf>
    <xf numFmtId="164" fontId="3" fillId="4" borderId="6" xfId="0" applyNumberFormat="1" applyFont="1" applyFill="1" applyBorder="1" applyAlignment="1">
      <alignment horizontal="center" vertical="center"/>
    </xf>
    <xf numFmtId="2" fontId="3" fillId="8" borderId="6" xfId="0" applyNumberFormat="1" applyFont="1" applyFill="1" applyBorder="1" applyAlignment="1">
      <alignment horizontal="center" vertical="center"/>
    </xf>
    <xf numFmtId="2" fontId="1" fillId="5" borderId="5" xfId="1" applyNumberFormat="1" applyFill="1" applyBorder="1" applyAlignment="1">
      <alignment horizontal="center" vertical="center"/>
    </xf>
    <xf numFmtId="2" fontId="1" fillId="6" borderId="5" xfId="1" applyNumberFormat="1" applyFill="1" applyBorder="1" applyAlignment="1">
      <alignment horizontal="center" vertical="center"/>
    </xf>
    <xf numFmtId="2" fontId="3" fillId="4" borderId="6" xfId="0" applyNumberFormat="1" applyFont="1" applyFill="1" applyBorder="1" applyAlignment="1">
      <alignment horizontal="center" vertical="center"/>
    </xf>
    <xf numFmtId="2" fontId="4" fillId="8" borderId="5" xfId="1" applyNumberFormat="1" applyFont="1" applyFill="1" applyBorder="1" applyAlignment="1">
      <alignment horizontal="center"/>
    </xf>
    <xf numFmtId="2" fontId="4" fillId="8" borderId="5" xfId="1" applyNumberFormat="1" applyFont="1" applyFill="1" applyBorder="1" applyAlignment="1">
      <alignment horizontal="center" vertical="center"/>
    </xf>
    <xf numFmtId="164" fontId="0" fillId="0" borderId="0" xfId="0" applyNumberFormat="1" applyAlignment="1">
      <alignment horizontal="center"/>
    </xf>
    <xf numFmtId="2" fontId="1" fillId="5" borderId="5" xfId="1" applyNumberFormat="1" applyFill="1" applyBorder="1" applyAlignment="1">
      <alignment horizontal="center"/>
    </xf>
    <xf numFmtId="2" fontId="1" fillId="6" borderId="5" xfId="1" applyNumberFormat="1" applyFill="1" applyBorder="1" applyAlignment="1">
      <alignment horizontal="center"/>
    </xf>
    <xf numFmtId="2" fontId="1" fillId="4" borderId="5" xfId="1" applyNumberFormat="1" applyFill="1" applyBorder="1" applyAlignment="1">
      <alignment horizontal="center"/>
    </xf>
    <xf numFmtId="2" fontId="0" fillId="0" borderId="0" xfId="0" applyNumberFormat="1" applyAlignment="1">
      <alignment horizontal="center"/>
    </xf>
    <xf numFmtId="1" fontId="3" fillId="8" borderId="6" xfId="0" applyNumberFormat="1" applyFont="1" applyFill="1" applyBorder="1" applyAlignment="1">
      <alignment horizontal="center" vertical="center"/>
    </xf>
    <xf numFmtId="1" fontId="1" fillId="5" borderId="5" xfId="1" applyNumberFormat="1" applyFill="1" applyBorder="1" applyAlignment="1">
      <alignment horizontal="center" vertical="center"/>
    </xf>
    <xf numFmtId="1" fontId="1" fillId="6" borderId="5" xfId="1" applyNumberFormat="1" applyFill="1" applyBorder="1" applyAlignment="1">
      <alignment horizontal="center" vertical="center"/>
    </xf>
    <xf numFmtId="1" fontId="3" fillId="4" borderId="6" xfId="0" applyNumberFormat="1" applyFont="1" applyFill="1" applyBorder="1" applyAlignment="1">
      <alignment horizontal="center" vertical="center"/>
    </xf>
    <xf numFmtId="164" fontId="1" fillId="8" borderId="5" xfId="1" applyNumberFormat="1" applyFill="1" applyBorder="1" applyAlignment="1">
      <alignment horizontal="center" vertical="center"/>
    </xf>
    <xf numFmtId="2" fontId="1" fillId="8" borderId="5" xfId="1" applyNumberFormat="1" applyFill="1" applyBorder="1" applyAlignment="1">
      <alignment horizontal="center" vertical="center"/>
    </xf>
    <xf numFmtId="1" fontId="1" fillId="8" borderId="5" xfId="1" applyNumberFormat="1" applyFill="1" applyBorder="1" applyAlignment="1">
      <alignment horizontal="center" vertical="center"/>
    </xf>
    <xf numFmtId="2" fontId="3" fillId="6" borderId="6" xfId="0" applyNumberFormat="1" applyFont="1" applyFill="1" applyBorder="1" applyAlignment="1">
      <alignment horizontal="center" vertical="center"/>
    </xf>
    <xf numFmtId="164" fontId="0" fillId="0" borderId="0" xfId="0" applyNumberFormat="1"/>
    <xf numFmtId="2" fontId="0" fillId="0" borderId="0" xfId="0" applyNumberFormat="1"/>
    <xf numFmtId="2" fontId="1" fillId="4" borderId="5" xfId="1" applyNumberFormat="1" applyFill="1" applyBorder="1" applyAlignment="1">
      <alignment horizontal="center" vertical="center"/>
    </xf>
    <xf numFmtId="164" fontId="1" fillId="8" borderId="5" xfId="1" applyNumberFormat="1" applyFill="1" applyBorder="1" applyAlignment="1">
      <alignment horizontal="center"/>
    </xf>
    <xf numFmtId="164" fontId="3" fillId="4" borderId="15" xfId="0" applyNumberFormat="1" applyFont="1" applyFill="1" applyBorder="1" applyAlignment="1">
      <alignment horizontal="center"/>
    </xf>
    <xf numFmtId="2" fontId="1" fillId="8" borderId="5" xfId="1" applyNumberFormat="1" applyFill="1" applyBorder="1" applyAlignment="1">
      <alignment horizontal="center"/>
    </xf>
    <xf numFmtId="2" fontId="3" fillId="4" borderId="15" xfId="0" applyNumberFormat="1" applyFont="1" applyFill="1" applyBorder="1" applyAlignment="1">
      <alignment horizontal="center"/>
    </xf>
    <xf numFmtId="1" fontId="3" fillId="4" borderId="15" xfId="0" applyNumberFormat="1" applyFont="1" applyFill="1" applyBorder="1" applyAlignment="1">
      <alignment horizontal="center"/>
    </xf>
    <xf numFmtId="1" fontId="3" fillId="6" borderId="6" xfId="0" applyNumberFormat="1" applyFont="1" applyFill="1" applyBorder="1" applyAlignment="1">
      <alignment horizontal="center" vertical="center"/>
    </xf>
    <xf numFmtId="2" fontId="5" fillId="8" borderId="6" xfId="0" applyNumberFormat="1" applyFont="1" applyFill="1" applyBorder="1" applyAlignment="1">
      <alignment horizontal="center" vertical="center"/>
    </xf>
    <xf numFmtId="2" fontId="3" fillId="5" borderId="6" xfId="0" applyNumberFormat="1" applyFont="1" applyFill="1" applyBorder="1" applyAlignment="1">
      <alignment horizontal="center" vertical="center"/>
    </xf>
    <xf numFmtId="2" fontId="4" fillId="7" borderId="5" xfId="1" applyNumberFormat="1" applyFont="1" applyFill="1" applyBorder="1" applyAlignment="1">
      <alignment horizontal="center" vertical="center"/>
    </xf>
    <xf numFmtId="2" fontId="4" fillId="7" borderId="5" xfId="1" applyNumberFormat="1" applyFont="1" applyFill="1" applyBorder="1" applyAlignment="1">
      <alignment horizontal="center"/>
    </xf>
    <xf numFmtId="0" fontId="2" fillId="9" borderId="11" xfId="2" applyFill="1" applyBorder="1" applyAlignment="1">
      <alignment horizontal="center" vertical="center"/>
    </xf>
    <xf numFmtId="0" fontId="2" fillId="9" borderId="12" xfId="2" applyFill="1" applyBorder="1" applyAlignment="1">
      <alignment horizontal="center" vertical="center"/>
    </xf>
    <xf numFmtId="0" fontId="2" fillId="9" borderId="10" xfId="2" applyFill="1" applyBorder="1" applyAlignment="1">
      <alignment horizontal="center" vertical="center"/>
    </xf>
    <xf numFmtId="166" fontId="0" fillId="0" borderId="0" xfId="6" applyNumberFormat="1" applyFont="1"/>
    <xf numFmtId="166" fontId="1" fillId="8" borderId="5" xfId="6" applyNumberFormat="1" applyFont="1" applyFill="1" applyBorder="1" applyAlignment="1">
      <alignment horizontal="center"/>
    </xf>
    <xf numFmtId="166" fontId="4" fillId="8" borderId="5" xfId="6" applyNumberFormat="1" applyFont="1" applyFill="1" applyBorder="1" applyAlignment="1">
      <alignment horizontal="center"/>
    </xf>
    <xf numFmtId="166" fontId="2" fillId="9" borderId="4" xfId="6" applyNumberFormat="1" applyFont="1" applyFill="1" applyBorder="1" applyAlignment="1">
      <alignment horizontal="center" vertical="center"/>
    </xf>
    <xf numFmtId="166" fontId="3" fillId="8" borderId="6" xfId="6" applyNumberFormat="1" applyFont="1" applyFill="1" applyBorder="1" applyAlignment="1">
      <alignment horizontal="center" vertical="center"/>
    </xf>
    <xf numFmtId="166" fontId="1" fillId="5" borderId="5" xfId="6" applyNumberFormat="1" applyFont="1" applyFill="1" applyBorder="1" applyAlignment="1">
      <alignment horizontal="center" vertical="center"/>
    </xf>
    <xf numFmtId="166" fontId="1" fillId="6" borderId="5" xfId="6" applyNumberFormat="1" applyFont="1" applyFill="1" applyBorder="1" applyAlignment="1">
      <alignment horizontal="center" vertical="center"/>
    </xf>
    <xf numFmtId="166" fontId="3" fillId="4" borderId="6" xfId="6" applyNumberFormat="1" applyFont="1" applyFill="1" applyBorder="1" applyAlignment="1">
      <alignment horizontal="center" vertical="center"/>
    </xf>
    <xf numFmtId="166" fontId="0" fillId="0" borderId="0" xfId="6" applyNumberFormat="1" applyFont="1" applyAlignment="1">
      <alignment horizontal="center"/>
    </xf>
    <xf numFmtId="166" fontId="1" fillId="8" borderId="5" xfId="6" applyNumberFormat="1" applyFont="1" applyFill="1" applyBorder="1" applyAlignment="1">
      <alignment horizontal="center" vertical="center"/>
    </xf>
    <xf numFmtId="166" fontId="3" fillId="6" borderId="6" xfId="6" applyNumberFormat="1" applyFont="1" applyFill="1" applyBorder="1" applyAlignment="1">
      <alignment horizontal="center" vertical="center"/>
    </xf>
    <xf numFmtId="166" fontId="1" fillId="5" borderId="5" xfId="6" applyNumberFormat="1" applyFont="1" applyFill="1" applyBorder="1" applyAlignment="1">
      <alignment horizontal="center"/>
    </xf>
    <xf numFmtId="166" fontId="1" fillId="6" borderId="5" xfId="6" applyNumberFormat="1" applyFont="1" applyFill="1" applyBorder="1" applyAlignment="1">
      <alignment horizontal="center"/>
    </xf>
    <xf numFmtId="166" fontId="1" fillId="4" borderId="5" xfId="6" applyNumberFormat="1" applyFont="1" applyFill="1" applyBorder="1" applyAlignment="1">
      <alignment horizontal="center"/>
    </xf>
    <xf numFmtId="166" fontId="2" fillId="9" borderId="13" xfId="6" applyNumberFormat="1" applyFont="1" applyFill="1" applyBorder="1" applyAlignment="1">
      <alignment horizontal="center" vertical="center"/>
    </xf>
    <xf numFmtId="166" fontId="2" fillId="9" borderId="13" xfId="6" applyNumberFormat="1" applyFont="1" applyFill="1" applyBorder="1" applyAlignment="1">
      <alignment horizontal="center"/>
    </xf>
    <xf numFmtId="166" fontId="3" fillId="4" borderId="15" xfId="6" applyNumberFormat="1" applyFont="1" applyFill="1" applyBorder="1" applyAlignment="1">
      <alignment horizontal="center"/>
    </xf>
    <xf numFmtId="0" fontId="1" fillId="6" borderId="14" xfId="0" applyFont="1" applyFill="1" applyBorder="1" applyAlignment="1">
      <alignment horizontal="center" vertical="center"/>
    </xf>
    <xf numFmtId="0" fontId="3" fillId="4" borderId="15" xfId="0" applyFont="1" applyFill="1" applyBorder="1" applyAlignment="1">
      <alignment horizontal="center" vertical="center"/>
    </xf>
    <xf numFmtId="0" fontId="1" fillId="4" borderId="16" xfId="1" applyFill="1" applyBorder="1" applyAlignment="1">
      <alignment horizontal="center"/>
    </xf>
    <xf numFmtId="2" fontId="1" fillId="6" borderId="16" xfId="1" applyNumberFormat="1" applyFill="1" applyBorder="1" applyAlignment="1">
      <alignment horizontal="center"/>
    </xf>
    <xf numFmtId="2" fontId="1" fillId="4" borderId="16" xfId="1" applyNumberFormat="1" applyFill="1" applyBorder="1" applyAlignment="1">
      <alignment horizontal="center"/>
    </xf>
    <xf numFmtId="166" fontId="1" fillId="4" borderId="16" xfId="6" applyNumberFormat="1" applyFont="1" applyFill="1" applyBorder="1" applyAlignment="1">
      <alignment horizontal="center"/>
    </xf>
    <xf numFmtId="0" fontId="1" fillId="4" borderId="5" xfId="0" applyFont="1" applyFill="1" applyBorder="1" applyAlignment="1">
      <alignment horizontal="center" vertical="center"/>
    </xf>
    <xf numFmtId="0" fontId="0" fillId="0" borderId="5" xfId="0" applyBorder="1" applyAlignment="1">
      <alignment horizontal="center"/>
    </xf>
    <xf numFmtId="2" fontId="0" fillId="0" borderId="5" xfId="0" applyNumberFormat="1" applyBorder="1" applyAlignment="1">
      <alignment horizontal="center"/>
    </xf>
    <xf numFmtId="166" fontId="0" fillId="0" borderId="5" xfId="6" applyNumberFormat="1" applyFont="1" applyBorder="1" applyAlignment="1">
      <alignment horizontal="center"/>
    </xf>
    <xf numFmtId="0" fontId="0" fillId="0" borderId="5" xfId="0" applyBorder="1" applyAlignment="1">
      <alignment horizontal="center" vertical="center"/>
    </xf>
    <xf numFmtId="0" fontId="0" fillId="0" borderId="5" xfId="0" applyFill="1" applyBorder="1" applyAlignment="1">
      <alignment horizontal="center"/>
    </xf>
  </cellXfs>
  <cellStyles count="7">
    <cellStyle name="Celda de comprobación" xfId="2" builtinId="23"/>
    <cellStyle name="Estilo 1" xfId="3"/>
    <cellStyle name="Estilo 2" xfId="4"/>
    <cellStyle name="Hipervínculo" xfId="5" builtinId="8"/>
    <cellStyle name="Millares" xfId="6" builtinId="3"/>
    <cellStyle name="Normal" xfId="0" builtinId="0"/>
    <cellStyle name="Salida" xfId="1" builtinId="21"/>
  </cellStyles>
  <dxfs count="85">
    <dxf>
      <numFmt numFmtId="166" formatCode="_-* #,##0.000\ _€_-;\-* #,##0.000\ _€_-;_-* &quot;-&quot;??\ _€_-;_-@_-"/>
      <alignment horizontal="center" vertical="bottom" textRotation="0" wrapText="0" indent="0" justifyLastLine="0" shrinkToFit="0" readingOrder="0"/>
    </dxf>
    <dxf>
      <numFmt numFmtId="166" formatCode="_-* #,##0.000\ _€_-;\-* #,##0.000\ _€_-;_-* &quot;-&quot;??\ _€_-;_-@_-"/>
      <alignment horizontal="center" vertical="bottom" textRotation="0" wrapText="0" indent="0" justifyLastLine="0" shrinkToFit="0" readingOrder="0"/>
    </dxf>
    <dxf>
      <numFmt numFmtId="166" formatCode="_-* #,##0.000\ _€_-;\-* #,##0.000\ _€_-;_-* &quot;-&quot;??\ _€_-;_-@_-"/>
      <alignment horizontal="center" vertical="bottom" textRotation="0" wrapText="0" indent="0" justifyLastLine="0" shrinkToFit="0" readingOrder="0"/>
    </dxf>
    <dxf>
      <numFmt numFmtId="166" formatCode="_-* #,##0.000\ _€_-;\-* #,##0.000\ _€_-;_-* &quot;-&quot;??\ _€_-;_-@_-"/>
      <alignment horizontal="center" vertical="bottom" textRotation="0" wrapText="0" indent="0" justifyLastLine="0" shrinkToFit="0" readingOrder="0"/>
    </dxf>
    <dxf>
      <numFmt numFmtId="2" formatCode="0.0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tint="-4.9989318521683403E-2"/>
        <name val="Calibri"/>
        <scheme val="minor"/>
      </font>
      <numFmt numFmtId="164" formatCode="0.000"/>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val="0"/>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rgb="FF3F3F3F"/>
        </bottom>
      </border>
    </dxf>
    <dxf>
      <border outline="0">
        <top style="double">
          <color rgb="FF3F3F3F"/>
        </top>
        <bottom style="double">
          <color rgb="FF3F3F3F"/>
        </bottom>
      </border>
    </dxf>
    <dxf>
      <alignment horizontal="center" vertical="bottom" textRotation="0" wrapText="0" indent="0" justifyLastLine="0" shrinkToFit="0" readingOrder="0"/>
    </dxf>
    <dxf>
      <numFmt numFmtId="2" formatCode="0.0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tint="-4.9989318521683403E-2"/>
        <name val="Calibri"/>
        <scheme val="minor"/>
      </font>
      <numFmt numFmtId="164" formatCode="0.000"/>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val="0"/>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rgb="FF3F3F3F"/>
        </bottom>
      </border>
    </dxf>
    <dxf>
      <border outline="0">
        <top style="double">
          <color rgb="FF3F3F3F"/>
        </top>
        <bottom style="double">
          <color rgb="FF3F3F3F"/>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tint="-4.9989318521683403E-2"/>
        <name val="Calibri"/>
        <scheme val="minor"/>
      </font>
      <numFmt numFmtId="164" formatCode="0.000"/>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val="0"/>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rgb="FF3F3F3F"/>
        </bottom>
      </border>
    </dxf>
    <dxf>
      <border outline="0">
        <top style="double">
          <color rgb="FF3F3F3F"/>
        </top>
        <bottom style="double">
          <color rgb="FF3F3F3F"/>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tint="-4.9989318521683403E-2"/>
        <name val="Calibri"/>
        <scheme val="minor"/>
      </font>
      <numFmt numFmtId="164" formatCode="0.000"/>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rgb="FF3F3F3F"/>
        </bottom>
      </border>
    </dxf>
    <dxf>
      <border outline="0">
        <top style="double">
          <color rgb="FF3F3F3F"/>
        </top>
      </border>
    </dxf>
    <dxf>
      <alignment horizontal="center" vertical="bottom" textRotation="0" wrapText="0" indent="0" justifyLastLine="0" shrinkToFit="0" readingOrder="0"/>
    </dxf>
    <dxf>
      <font>
        <b/>
        <i val="0"/>
        <strike val="0"/>
        <condense val="0"/>
        <extend val="0"/>
        <outline val="0"/>
        <shadow val="0"/>
        <u val="none"/>
        <vertAlign val="baseline"/>
        <sz val="11"/>
        <color theme="0" tint="-4.9989318521683403E-2"/>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1" tint="0.49803155613879818"/>
          </stop>
        </gradientFill>
      </fill>
    </dxf>
  </dxfs>
  <tableStyles count="1" defaultTableStyle="Estilo de tabla 1" defaultPivotStyle="PivotStyleLight16">
    <tableStyle name="Estilo de tabla 1" pivot="0" count="1">
      <tableStyleElement type="wholeTable" dxfId="84"/>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a1" displayName="Tabla1" ref="A4:J16" headerRowCount="0" totalsRowShown="0" headerRowDxfId="83" dataDxfId="82" tableBorderDxfId="81" headerRowCellStyle="Salida">
  <tableColumns count="10">
    <tableColumn id="1" name="Columna1" headerRowDxfId="80" dataDxfId="79"/>
    <tableColumn id="2" name="Columna2" headerRowDxfId="78" dataDxfId="77"/>
    <tableColumn id="3" name="Columna3" headerRowDxfId="76" dataDxfId="75"/>
    <tableColumn id="4" name="Columna4" headerRowDxfId="74" dataDxfId="73"/>
    <tableColumn id="5" name="Columna5" headerRowDxfId="72" dataDxfId="71"/>
    <tableColumn id="6" name="Columna6" headerRowDxfId="70" dataDxfId="69"/>
    <tableColumn id="7" name="Columna7" headerRowDxfId="68" dataDxfId="0" dataCellStyle="Millares">
      <calculatedColumnFormula>Tabla1[[#This Row],[Columna6]]*100/(Tabla1[[#This Row],[Columna3]]*Tabla1[[#This Row],[Columna5]]*$B$1)</calculatedColumnFormula>
    </tableColumn>
    <tableColumn id="8" name="Columna8" headerRowDxfId="67" dataDxfId="66"/>
    <tableColumn id="9" name="Columna9" headerRowDxfId="65" dataDxfId="64">
      <calculatedColumnFormula>Tabla1[[#This Row],[Columna4]]*Tabla1[[#This Row],[Columna8]]</calculatedColumnFormula>
    </tableColumn>
    <tableColumn id="10" name="Columna10" headerRowDxfId="63" dataDxfId="62">
      <calculatedColumnFormula>Tabla1[[#This Row],[Columna9]]/(7*Tabla1[[#This Row],[Columna2]])</calculatedColumnFormula>
    </tableColumn>
  </tableColumns>
  <tableStyleInfo name="Estilo de tabla 1" showFirstColumn="0" showLastColumn="0" showRowStripes="1" showColumnStripes="0"/>
</table>
</file>

<file path=xl/tables/table2.xml><?xml version="1.0" encoding="utf-8"?>
<table xmlns="http://schemas.openxmlformats.org/spreadsheetml/2006/main" id="2" name="Tabla2" displayName="Tabla2" ref="A4:J19" headerRowCount="0" totalsRowShown="0" tableBorderDxfId="61">
  <tableColumns count="10">
    <tableColumn id="1" name="Columna1" headerRowDxfId="60" dataDxfId="59"/>
    <tableColumn id="2" name="Columna2" headerRowDxfId="58" dataDxfId="57"/>
    <tableColumn id="3" name="Columna3" headerRowDxfId="56" dataDxfId="55" headerRowCellStyle="Salida"/>
    <tableColumn id="4" name="Columna4" headerRowDxfId="54" dataDxfId="53" headerRowCellStyle="Salida"/>
    <tableColumn id="5" name="Columna5" headerRowDxfId="52" dataDxfId="51" headerRowCellStyle="Salida"/>
    <tableColumn id="6" name="Columna6" headerRowDxfId="50" dataDxfId="49" headerRowCellStyle="Salida"/>
    <tableColumn id="7" name="Columna7" headerRowDxfId="48" dataDxfId="1" headerRowCellStyle="Salida" dataCellStyle="Millares">
      <calculatedColumnFormula>F4/(E4*C4*$B$1)</calculatedColumnFormula>
    </tableColumn>
    <tableColumn id="8" name="Columna8" headerRowDxfId="47" dataDxfId="46" headerRowCellStyle="Salida" dataCellStyle="Salida">
      <calculatedColumnFormula>AB4*24</calculatedColumnFormula>
    </tableColumn>
    <tableColumn id="9" name="Columna9" headerRowDxfId="45" dataDxfId="44" headerRowCellStyle="Salida" dataCellStyle="Salida">
      <calculatedColumnFormula>H4*D4</calculatedColumnFormula>
    </tableColumn>
    <tableColumn id="10" name="Columna10">
      <calculatedColumnFormula>I4/(7*B4)</calculatedColumnFormula>
    </tableColumn>
  </tableColumns>
  <tableStyleInfo name="Estilo de tabla 1" showFirstColumn="0" showLastColumn="0" showRowStripes="1" showColumnStripes="0"/>
</table>
</file>

<file path=xl/tables/table3.xml><?xml version="1.0" encoding="utf-8"?>
<table xmlns="http://schemas.openxmlformats.org/spreadsheetml/2006/main" id="3" name="Tabla3" displayName="Tabla3" ref="A4:J13" headerRowCount="0" totalsRowShown="0" dataDxfId="43" tableBorderDxfId="42">
  <tableColumns count="10">
    <tableColumn id="1" name="Columna1" headerRowDxfId="41" dataDxfId="40"/>
    <tableColumn id="2" name="Columna2" headerRowDxfId="39" dataDxfId="38"/>
    <tableColumn id="3" name="Columna3" headerRowDxfId="37" dataDxfId="36"/>
    <tableColumn id="4" name="Columna4" headerRowDxfId="35" dataDxfId="34"/>
    <tableColumn id="5" name="Columna5" headerRowDxfId="33" dataDxfId="32"/>
    <tableColumn id="6" name="Columna6" headerRowDxfId="31" dataDxfId="30"/>
    <tableColumn id="7" name="Columna7" headerRowDxfId="29" dataDxfId="2" dataCellStyle="Millares">
      <calculatedColumnFormula>F4*100/(E4*C4*$B$1)</calculatedColumnFormula>
    </tableColumn>
    <tableColumn id="8" name="Columna8" headerRowDxfId="28" dataDxfId="27">
      <calculatedColumnFormula>U4*24</calculatedColumnFormula>
    </tableColumn>
    <tableColumn id="9" name="Columna9" headerRowDxfId="26" dataDxfId="25">
      <calculatedColumnFormula>Tabla3[[#This Row],[Columna8]]*Tabla3[[#This Row],[Columna4]]</calculatedColumnFormula>
    </tableColumn>
    <tableColumn id="10" name="Columna10" dataDxfId="24">
      <calculatedColumnFormula>I4/(7*B4)</calculatedColumnFormula>
    </tableColumn>
  </tableColumns>
  <tableStyleInfo name="Estilo de tabla 1" showFirstColumn="0" showLastColumn="0" showRowStripes="1" showColumnStripes="0"/>
</table>
</file>

<file path=xl/tables/table4.xml><?xml version="1.0" encoding="utf-8"?>
<table xmlns="http://schemas.openxmlformats.org/spreadsheetml/2006/main" id="4" name="Tabla4" displayName="Tabla4" ref="A4:J13" headerRowCount="0" totalsRowShown="0" dataDxfId="23" tableBorderDxfId="22">
  <tableColumns count="10">
    <tableColumn id="1" name="Columna1" headerRowDxfId="21" dataDxfId="20"/>
    <tableColumn id="2" name="Columna2" headerRowDxfId="19" dataDxfId="18"/>
    <tableColumn id="3" name="Columna3" headerRowDxfId="17" dataDxfId="16"/>
    <tableColumn id="4" name="Columna4" headerRowDxfId="15" dataDxfId="14"/>
    <tableColumn id="5" name="Columna5" headerRowDxfId="13" dataDxfId="12"/>
    <tableColumn id="6" name="Columna6" headerRowDxfId="11" dataDxfId="10"/>
    <tableColumn id="7" name="Columna7" headerRowDxfId="9" dataDxfId="3" dataCellStyle="Millares">
      <calculatedColumnFormula>F4*100/(E4*C4*$B$1)</calculatedColumnFormula>
    </tableColumn>
    <tableColumn id="8" name="Columna8" headerRowDxfId="8" dataDxfId="7">
      <calculatedColumnFormula>Z4*24</calculatedColumnFormula>
    </tableColumn>
    <tableColumn id="9" name="Columna9" headerRowDxfId="6" dataDxfId="5">
      <calculatedColumnFormula>Tabla4[[#This Row],[Columna8]]*Tabla4[[#This Row],[Columna4]]</calculatedColumnFormula>
    </tableColumn>
    <tableColumn id="10" name="Columna10" dataDxfId="4">
      <calculatedColumnFormula>Tabla4[[#This Row],[Columna9]]/(7*Tabla4[[#This Row],[Columna2]])</calculatedColumnFormula>
    </tableColumn>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wiss.com/es/ES/volar/flota"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zoomScale="85" zoomScaleNormal="85" workbookViewId="0">
      <selection activeCell="B22" sqref="B22"/>
    </sheetView>
  </sheetViews>
  <sheetFormatPr baseColWidth="10" defaultColWidth="11.453125" defaultRowHeight="14.5" x14ac:dyDescent="0.35"/>
  <cols>
    <col min="1" max="1" width="27.7265625" style="2" customWidth="1"/>
    <col min="2" max="2" width="191.453125" style="2" customWidth="1"/>
    <col min="3" max="16384" width="11.453125" style="2"/>
  </cols>
  <sheetData>
    <row r="1" spans="1:2" s="34" customFormat="1" ht="15.5" thickTop="1" thickBot="1" x14ac:dyDescent="0.4">
      <c r="A1" s="32"/>
      <c r="B1" s="33"/>
    </row>
    <row r="2" spans="1:2" ht="15.5" thickTop="1" thickBot="1" x14ac:dyDescent="0.4">
      <c r="A2" s="1" t="s">
        <v>20</v>
      </c>
      <c r="B2" s="40" t="s">
        <v>58</v>
      </c>
    </row>
    <row r="3" spans="1:2" ht="15" thickTop="1" x14ac:dyDescent="0.35">
      <c r="A3" s="38" t="s">
        <v>33</v>
      </c>
      <c r="B3" s="39" t="s">
        <v>53</v>
      </c>
    </row>
    <row r="4" spans="1:2" x14ac:dyDescent="0.35">
      <c r="A4" s="38" t="s">
        <v>32</v>
      </c>
      <c r="B4" s="39" t="s">
        <v>54</v>
      </c>
    </row>
    <row r="5" spans="1:2" x14ac:dyDescent="0.35">
      <c r="A5" s="38" t="s">
        <v>32</v>
      </c>
      <c r="B5" s="39" t="s">
        <v>55</v>
      </c>
    </row>
    <row r="6" spans="1:2" x14ac:dyDescent="0.35">
      <c r="A6" s="38" t="s">
        <v>32</v>
      </c>
      <c r="B6" s="39" t="s">
        <v>56</v>
      </c>
    </row>
    <row r="7" spans="1:2" x14ac:dyDescent="0.35">
      <c r="A7" s="38" t="s">
        <v>32</v>
      </c>
      <c r="B7" s="39" t="s">
        <v>57</v>
      </c>
    </row>
    <row r="8" spans="1:2" ht="15" thickBot="1" x14ac:dyDescent="0.4"/>
    <row r="9" spans="1:2" ht="15" thickTop="1" x14ac:dyDescent="0.35">
      <c r="A9" s="117" t="s">
        <v>21</v>
      </c>
      <c r="B9" s="118"/>
    </row>
    <row r="10" spans="1:2" x14ac:dyDescent="0.35">
      <c r="A10" s="35" t="s">
        <v>26</v>
      </c>
      <c r="B10" s="36" t="s">
        <v>60</v>
      </c>
    </row>
    <row r="11" spans="1:2" x14ac:dyDescent="0.35">
      <c r="A11" s="35" t="s">
        <v>27</v>
      </c>
      <c r="B11" s="81" t="s">
        <v>61</v>
      </c>
    </row>
    <row r="12" spans="1:2" x14ac:dyDescent="0.35">
      <c r="A12" s="36" t="s">
        <v>25</v>
      </c>
      <c r="B12" s="36" t="s">
        <v>62</v>
      </c>
    </row>
    <row r="13" spans="1:2" x14ac:dyDescent="0.35">
      <c r="A13" s="36" t="s">
        <v>25</v>
      </c>
      <c r="B13" s="36" t="s">
        <v>25</v>
      </c>
    </row>
    <row r="14" spans="1:2" x14ac:dyDescent="0.35">
      <c r="A14" s="36" t="s">
        <v>25</v>
      </c>
      <c r="B14" s="36" t="s">
        <v>25</v>
      </c>
    </row>
    <row r="15" spans="1:2" x14ac:dyDescent="0.35">
      <c r="A15" s="36" t="s">
        <v>25</v>
      </c>
      <c r="B15" s="36" t="s">
        <v>25</v>
      </c>
    </row>
    <row r="16" spans="1:2" x14ac:dyDescent="0.35">
      <c r="A16" s="36" t="s">
        <v>25</v>
      </c>
      <c r="B16" s="36" t="s">
        <v>25</v>
      </c>
    </row>
    <row r="17" spans="1:2" ht="15" thickBot="1" x14ac:dyDescent="0.4"/>
    <row r="18" spans="1:2" ht="15.75" customHeight="1" thickTop="1" x14ac:dyDescent="0.35">
      <c r="A18" s="117" t="s">
        <v>22</v>
      </c>
      <c r="B18" s="118"/>
    </row>
    <row r="19" spans="1:2" x14ac:dyDescent="0.35">
      <c r="A19" s="37" t="s">
        <v>23</v>
      </c>
      <c r="B19" s="36" t="s">
        <v>59</v>
      </c>
    </row>
    <row r="20" spans="1:2" ht="45" customHeight="1" x14ac:dyDescent="0.35">
      <c r="A20" s="37" t="s">
        <v>24</v>
      </c>
      <c r="B20" s="36" t="s">
        <v>63</v>
      </c>
    </row>
    <row r="21" spans="1:2" x14ac:dyDescent="0.35">
      <c r="A21" s="37" t="s">
        <v>25</v>
      </c>
      <c r="B21" s="36" t="s">
        <v>25</v>
      </c>
    </row>
    <row r="22" spans="1:2" x14ac:dyDescent="0.35">
      <c r="A22" s="36" t="s">
        <v>25</v>
      </c>
      <c r="B22" s="36" t="s">
        <v>25</v>
      </c>
    </row>
    <row r="23" spans="1:2" x14ac:dyDescent="0.35">
      <c r="A23" s="36" t="s">
        <v>25</v>
      </c>
      <c r="B23" s="36" t="s">
        <v>25</v>
      </c>
    </row>
    <row r="24" spans="1:2" x14ac:dyDescent="0.35">
      <c r="A24" s="36" t="s">
        <v>25</v>
      </c>
      <c r="B24" s="36" t="s">
        <v>25</v>
      </c>
    </row>
    <row r="25" spans="1:2" x14ac:dyDescent="0.35">
      <c r="A25" s="36" t="s">
        <v>25</v>
      </c>
      <c r="B25" s="36" t="s">
        <v>25</v>
      </c>
    </row>
    <row r="26" spans="1:2" ht="15" thickBot="1" x14ac:dyDescent="0.4"/>
    <row r="27" spans="1:2" ht="15" thickTop="1" x14ac:dyDescent="0.35">
      <c r="A27" s="117" t="s">
        <v>28</v>
      </c>
      <c r="B27" s="118"/>
    </row>
    <row r="28" spans="1:2" x14ac:dyDescent="0.35">
      <c r="A28" s="36" t="s">
        <v>25</v>
      </c>
      <c r="B28" s="36" t="s">
        <v>25</v>
      </c>
    </row>
    <row r="29" spans="1:2" x14ac:dyDescent="0.35">
      <c r="A29" s="36" t="s">
        <v>25</v>
      </c>
      <c r="B29" s="36" t="s">
        <v>25</v>
      </c>
    </row>
    <row r="30" spans="1:2" x14ac:dyDescent="0.35">
      <c r="A30" s="36" t="s">
        <v>25</v>
      </c>
      <c r="B30" s="36" t="s">
        <v>25</v>
      </c>
    </row>
    <row r="31" spans="1:2" x14ac:dyDescent="0.35">
      <c r="A31" s="36" t="s">
        <v>25</v>
      </c>
      <c r="B31" s="36" t="s">
        <v>25</v>
      </c>
    </row>
    <row r="32" spans="1:2" x14ac:dyDescent="0.35">
      <c r="A32" s="36" t="s">
        <v>25</v>
      </c>
      <c r="B32" s="36" t="s">
        <v>25</v>
      </c>
    </row>
    <row r="33" spans="1:2" x14ac:dyDescent="0.35">
      <c r="A33" s="36" t="s">
        <v>25</v>
      </c>
      <c r="B33" s="36" t="s">
        <v>25</v>
      </c>
    </row>
    <row r="34" spans="1:2" x14ac:dyDescent="0.35">
      <c r="A34" s="36" t="s">
        <v>25</v>
      </c>
      <c r="B34" s="36" t="s">
        <v>25</v>
      </c>
    </row>
  </sheetData>
  <mergeCells count="3">
    <mergeCell ref="A18:B18"/>
    <mergeCell ref="A9:B9"/>
    <mergeCell ref="A27:B27"/>
  </mergeCells>
  <hyperlinks>
    <hyperlink ref="B11" r:id="rId1"/>
  </hyperlinks>
  <pageMargins left="0.7" right="0.7" top="0.75" bottom="0.75" header="0.3" footer="0.3"/>
  <pageSetup paperSize="9" orientation="portrait" horizontalDpi="4294967292"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zoomScale="85" zoomScaleNormal="85" workbookViewId="0">
      <selection activeCell="G4" sqref="G4:G20"/>
    </sheetView>
  </sheetViews>
  <sheetFormatPr baseColWidth="10" defaultColWidth="11.453125" defaultRowHeight="14.5" x14ac:dyDescent="0.35"/>
  <cols>
    <col min="1" max="1" width="27.7265625" style="2" customWidth="1"/>
    <col min="2" max="2" width="11" style="2" customWidth="1"/>
    <col min="3" max="3" width="12"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20" ht="15.5" thickTop="1" thickBot="1" x14ac:dyDescent="0.4">
      <c r="A1" s="24" t="s">
        <v>8</v>
      </c>
      <c r="B1" s="30">
        <v>81.3</v>
      </c>
      <c r="C1" s="48"/>
      <c r="D1" s="41"/>
      <c r="E1" s="41"/>
      <c r="F1" s="41"/>
      <c r="G1" s="41"/>
      <c r="H1" s="41"/>
      <c r="I1" s="41"/>
      <c r="J1" s="41"/>
      <c r="K1" s="41"/>
      <c r="L1" s="41"/>
    </row>
    <row r="2" spans="1:20" ht="15.5" thickTop="1" thickBot="1" x14ac:dyDescent="0.4">
      <c r="A2" s="41"/>
      <c r="B2" s="41"/>
      <c r="C2" s="41"/>
      <c r="D2" s="41"/>
      <c r="E2" s="41"/>
      <c r="F2" s="41"/>
      <c r="G2" s="41"/>
      <c r="H2" s="41"/>
      <c r="I2" s="41"/>
      <c r="J2" s="41"/>
      <c r="K2" s="41"/>
      <c r="L2" s="41"/>
    </row>
    <row r="3" spans="1:20" ht="15.5" thickTop="1" thickBot="1" x14ac:dyDescent="0.4">
      <c r="A3" s="24" t="s">
        <v>2</v>
      </c>
      <c r="B3" s="24" t="s">
        <v>12</v>
      </c>
      <c r="C3" s="24" t="s">
        <v>0</v>
      </c>
      <c r="D3" s="24" t="s">
        <v>13</v>
      </c>
      <c r="E3" s="24" t="s">
        <v>9</v>
      </c>
      <c r="F3" s="24" t="s">
        <v>10</v>
      </c>
      <c r="G3" s="24" t="s">
        <v>1</v>
      </c>
      <c r="H3" s="24" t="s">
        <v>11</v>
      </c>
      <c r="I3" s="24" t="s">
        <v>15</v>
      </c>
      <c r="J3" s="24" t="s">
        <v>16</v>
      </c>
      <c r="K3" s="41"/>
      <c r="L3" s="41"/>
    </row>
    <row r="4" spans="1:20" ht="15.5" thickTop="1" thickBot="1" x14ac:dyDescent="0.4">
      <c r="A4" s="42" t="s">
        <v>34</v>
      </c>
      <c r="B4" s="15">
        <v>6</v>
      </c>
      <c r="C4" s="3">
        <v>156</v>
      </c>
      <c r="D4" s="3">
        <v>217</v>
      </c>
      <c r="E4" s="89">
        <v>907.61765955881276</v>
      </c>
      <c r="F4" s="90">
        <v>3352.4060612931912</v>
      </c>
      <c r="G4" s="122">
        <f>F4*100/(E4*C4*$B$1)</f>
        <v>2.9123162660989056E-2</v>
      </c>
      <c r="H4" s="90">
        <f>24*T4</f>
        <v>1.7177205496204233</v>
      </c>
      <c r="I4" s="89">
        <f>H4*D4</f>
        <v>372.74535926763184</v>
      </c>
      <c r="J4" s="89">
        <f>I4/(7*B4)</f>
        <v>8.8748895063721864</v>
      </c>
      <c r="K4" s="41"/>
      <c r="L4" s="41"/>
      <c r="T4" s="4">
        <v>7.1571689567517638E-2</v>
      </c>
    </row>
    <row r="5" spans="1:20" ht="15" thickBot="1" x14ac:dyDescent="0.4">
      <c r="A5" s="43" t="s">
        <v>35</v>
      </c>
      <c r="B5" s="15">
        <v>24</v>
      </c>
      <c r="C5" s="3">
        <v>124</v>
      </c>
      <c r="D5" s="4">
        <v>804</v>
      </c>
      <c r="E5" s="89">
        <v>916.58479566172605</v>
      </c>
      <c r="F5" s="89">
        <v>3680.3836129073866</v>
      </c>
      <c r="G5" s="122">
        <f t="shared" ref="G5:G13" si="0">F5*100/(E5*C5*$B$1)</f>
        <v>3.9829807613822571E-2</v>
      </c>
      <c r="H5" s="90">
        <f t="shared" ref="H5:H13" si="1">24*T5</f>
        <v>1.7242860759161016</v>
      </c>
      <c r="I5" s="89">
        <f t="shared" ref="I5:I13" si="2">H5*D5</f>
        <v>1386.3260050365457</v>
      </c>
      <c r="J5" s="89">
        <f t="shared" ref="J5:J13" si="3">I5/(7*B5)</f>
        <v>8.2519405061699143</v>
      </c>
      <c r="K5" s="41"/>
      <c r="L5" s="41"/>
      <c r="T5" s="4">
        <v>7.1845253163170905E-2</v>
      </c>
    </row>
    <row r="6" spans="1:20" ht="15" thickBot="1" x14ac:dyDescent="0.4">
      <c r="A6" s="44" t="s">
        <v>36</v>
      </c>
      <c r="B6" s="16">
        <v>9</v>
      </c>
      <c r="C6" s="6">
        <v>124</v>
      </c>
      <c r="D6" s="7">
        <v>318</v>
      </c>
      <c r="E6" s="92">
        <v>1188.4845919731781</v>
      </c>
      <c r="F6" s="92">
        <v>5496.5867294919981</v>
      </c>
      <c r="G6" s="122">
        <f t="shared" si="0"/>
        <v>4.5876185329795489E-2</v>
      </c>
      <c r="H6" s="90">
        <f t="shared" si="1"/>
        <v>2.0568967089897869</v>
      </c>
      <c r="I6" s="89">
        <f t="shared" si="2"/>
        <v>654.09315345875223</v>
      </c>
      <c r="J6" s="89">
        <f t="shared" si="3"/>
        <v>10.382431007281781</v>
      </c>
      <c r="K6" s="41"/>
      <c r="L6" s="41"/>
      <c r="T6" s="7">
        <v>8.5704029541241122E-2</v>
      </c>
    </row>
    <row r="7" spans="1:20" ht="15" thickBot="1" x14ac:dyDescent="0.4">
      <c r="A7" s="44" t="s">
        <v>37</v>
      </c>
      <c r="B7" s="16">
        <v>13</v>
      </c>
      <c r="C7" s="6">
        <v>278</v>
      </c>
      <c r="D7" s="7">
        <v>209</v>
      </c>
      <c r="E7" s="92">
        <v>6218.9178105249266</v>
      </c>
      <c r="F7" s="92">
        <v>39021.543003256978</v>
      </c>
      <c r="G7" s="122">
        <f t="shared" si="0"/>
        <v>2.7762225642831553E-2</v>
      </c>
      <c r="H7" s="90">
        <f t="shared" si="1"/>
        <v>7.7903046956058741</v>
      </c>
      <c r="I7" s="89">
        <f t="shared" si="2"/>
        <v>1628.1736813816276</v>
      </c>
      <c r="J7" s="89">
        <f t="shared" si="3"/>
        <v>17.892018476721184</v>
      </c>
      <c r="K7" s="41"/>
      <c r="L7" s="41"/>
      <c r="T7" s="7">
        <v>0.32459602898357809</v>
      </c>
    </row>
    <row r="8" spans="1:20" ht="15" thickBot="1" x14ac:dyDescent="0.4">
      <c r="A8" s="45" t="s">
        <v>38</v>
      </c>
      <c r="B8" s="17">
        <v>12</v>
      </c>
      <c r="C8" s="9">
        <v>275</v>
      </c>
      <c r="D8" s="9">
        <v>149</v>
      </c>
      <c r="E8" s="93">
        <v>9112.5378363811469</v>
      </c>
      <c r="F8" s="93">
        <v>73042.864638267434</v>
      </c>
      <c r="G8" s="122">
        <f t="shared" si="0"/>
        <v>3.585215070187811E-2</v>
      </c>
      <c r="H8" s="90">
        <f t="shared" si="1"/>
        <v>11.369922704172474</v>
      </c>
      <c r="I8" s="89">
        <f t="shared" si="2"/>
        <v>1694.1184829216986</v>
      </c>
      <c r="J8" s="89">
        <f t="shared" si="3"/>
        <v>20.168077177639269</v>
      </c>
      <c r="K8" s="41"/>
      <c r="L8" s="41"/>
      <c r="T8" s="9">
        <v>0.47374677934051979</v>
      </c>
    </row>
    <row r="9" spans="1:20" ht="15" thickBot="1" x14ac:dyDescent="0.4">
      <c r="A9" s="45" t="s">
        <v>49</v>
      </c>
      <c r="B9" s="17">
        <v>4</v>
      </c>
      <c r="C9" s="9">
        <v>383</v>
      </c>
      <c r="D9" s="9">
        <v>82</v>
      </c>
      <c r="E9" s="93">
        <v>4238.0147671897585</v>
      </c>
      <c r="F9" s="93">
        <v>42610.872608554397</v>
      </c>
      <c r="G9" s="122">
        <f t="shared" si="0"/>
        <v>3.2290044444566186E-2</v>
      </c>
      <c r="H9" s="90">
        <f t="shared" si="1"/>
        <v>5.4981580074799261</v>
      </c>
      <c r="I9" s="89">
        <f t="shared" si="2"/>
        <v>450.84895661335395</v>
      </c>
      <c r="J9" s="89">
        <f t="shared" si="3"/>
        <v>16.101748450476926</v>
      </c>
      <c r="K9" s="41"/>
      <c r="L9" s="41"/>
      <c r="T9" s="9">
        <v>0.22908991697833025</v>
      </c>
    </row>
    <row r="10" spans="1:20" ht="15" thickBot="1" x14ac:dyDescent="0.4">
      <c r="A10" s="46" t="s">
        <v>43</v>
      </c>
      <c r="B10" s="18">
        <v>5</v>
      </c>
      <c r="C10" s="12">
        <v>68</v>
      </c>
      <c r="D10" s="12">
        <v>181</v>
      </c>
      <c r="E10" s="94">
        <v>274.95496337434611</v>
      </c>
      <c r="F10" s="94">
        <v>242.07839999999916</v>
      </c>
      <c r="G10" s="122">
        <f t="shared" si="0"/>
        <v>1.592557120349309E-2</v>
      </c>
      <c r="H10" s="90">
        <f t="shared" si="1"/>
        <v>0.54833333333333134</v>
      </c>
      <c r="I10" s="89">
        <f t="shared" si="2"/>
        <v>99.24833333333298</v>
      </c>
      <c r="J10" s="89">
        <f t="shared" si="3"/>
        <v>2.8356666666666563</v>
      </c>
      <c r="K10" s="41"/>
      <c r="L10" s="41"/>
      <c r="T10" s="12">
        <v>2.284722222222214E-2</v>
      </c>
    </row>
    <row r="11" spans="1:20" x14ac:dyDescent="0.35">
      <c r="A11" s="41" t="s">
        <v>40</v>
      </c>
      <c r="B11" s="41">
        <v>7</v>
      </c>
      <c r="C11" s="41">
        <v>100</v>
      </c>
      <c r="D11" s="41">
        <v>172</v>
      </c>
      <c r="E11" s="95">
        <v>695.81104259687606</v>
      </c>
      <c r="F11" s="95">
        <v>2459.348323831799</v>
      </c>
      <c r="G11" s="122">
        <f t="shared" si="0"/>
        <v>4.3474858882809858E-2</v>
      </c>
      <c r="H11" s="90">
        <f t="shared" si="1"/>
        <v>1.4987878883391232</v>
      </c>
      <c r="I11" s="89">
        <f t="shared" si="2"/>
        <v>257.7915167943292</v>
      </c>
      <c r="J11" s="89">
        <f t="shared" si="3"/>
        <v>5.2610513631495754</v>
      </c>
      <c r="K11" s="41"/>
      <c r="L11" s="41"/>
      <c r="T11" s="41">
        <v>6.2449495347463468E-2</v>
      </c>
    </row>
    <row r="12" spans="1:20" ht="38.25" customHeight="1" x14ac:dyDescent="0.35">
      <c r="A12" s="41" t="s">
        <v>39</v>
      </c>
      <c r="B12" s="41">
        <v>5</v>
      </c>
      <c r="C12" s="41">
        <v>92</v>
      </c>
      <c r="D12" s="41">
        <v>196</v>
      </c>
      <c r="E12" s="95">
        <v>715.41013884340725</v>
      </c>
      <c r="F12" s="95">
        <v>2636.0329046843062</v>
      </c>
      <c r="G12" s="122">
        <f t="shared" si="0"/>
        <v>4.9262603855469086E-2</v>
      </c>
      <c r="H12" s="90">
        <f t="shared" si="1"/>
        <v>1.5698052735336656</v>
      </c>
      <c r="I12" s="89">
        <f t="shared" si="2"/>
        <v>307.68183361259844</v>
      </c>
      <c r="J12" s="89">
        <f t="shared" si="3"/>
        <v>8.7909095317885271</v>
      </c>
      <c r="K12" s="41"/>
      <c r="L12" s="41"/>
      <c r="T12" s="41">
        <v>6.5408553063902738E-2</v>
      </c>
    </row>
    <row r="13" spans="1:20" x14ac:dyDescent="0.35">
      <c r="A13" s="41" t="s">
        <v>44</v>
      </c>
      <c r="B13" s="41">
        <v>15</v>
      </c>
      <c r="C13" s="41">
        <v>116</v>
      </c>
      <c r="D13" s="41">
        <v>651</v>
      </c>
      <c r="E13" s="95">
        <v>503.52727440013035</v>
      </c>
      <c r="F13" s="95">
        <v>570.04080000000135</v>
      </c>
      <c r="G13" s="122">
        <f t="shared" si="0"/>
        <v>1.2004232719504317E-2</v>
      </c>
      <c r="H13" s="90">
        <f t="shared" si="1"/>
        <v>0.54833333333332712</v>
      </c>
      <c r="I13" s="89">
        <f t="shared" si="2"/>
        <v>356.96499999999594</v>
      </c>
      <c r="J13" s="89">
        <f t="shared" si="3"/>
        <v>3.399666666666628</v>
      </c>
      <c r="K13" s="41"/>
      <c r="L13" s="41"/>
      <c r="T13" s="41">
        <v>2.2847222222221963E-2</v>
      </c>
    </row>
    <row r="14" spans="1:20" x14ac:dyDescent="0.35">
      <c r="A14" s="41"/>
      <c r="B14" s="41"/>
      <c r="C14" s="41"/>
      <c r="D14" s="41"/>
      <c r="E14" s="41"/>
      <c r="F14" s="41"/>
      <c r="G14" s="128"/>
      <c r="H14" s="41"/>
      <c r="I14" s="41"/>
      <c r="J14" s="41"/>
      <c r="K14" s="41"/>
      <c r="L14" s="41"/>
    </row>
    <row r="15" spans="1:20" ht="15" thickBot="1" x14ac:dyDescent="0.4">
      <c r="A15" s="41"/>
      <c r="B15" s="41"/>
      <c r="C15" s="41"/>
      <c r="D15" s="41"/>
      <c r="E15" s="41"/>
      <c r="F15" s="41"/>
      <c r="G15" s="128"/>
      <c r="H15" s="41"/>
      <c r="I15" s="41"/>
      <c r="J15" s="41"/>
      <c r="K15" s="41"/>
      <c r="L15" s="41"/>
    </row>
    <row r="16" spans="1:20" ht="30" thickTop="1" thickBot="1" x14ac:dyDescent="0.4">
      <c r="A16" s="24" t="s">
        <v>3</v>
      </c>
      <c r="B16" s="24" t="s">
        <v>12</v>
      </c>
      <c r="C16" s="29" t="s">
        <v>19</v>
      </c>
      <c r="D16" s="29" t="s">
        <v>14</v>
      </c>
      <c r="E16" s="24" t="s">
        <v>9</v>
      </c>
      <c r="F16" s="24" t="s">
        <v>10</v>
      </c>
      <c r="G16" s="123" t="s">
        <v>1</v>
      </c>
      <c r="H16" s="24" t="s">
        <v>11</v>
      </c>
      <c r="I16" s="29" t="s">
        <v>17</v>
      </c>
      <c r="J16" s="24" t="s">
        <v>18</v>
      </c>
      <c r="K16" s="41"/>
      <c r="L16" s="41"/>
    </row>
    <row r="17" spans="1:12" ht="15.5" thickTop="1" thickBot="1" x14ac:dyDescent="0.4">
      <c r="A17" s="49" t="s">
        <v>4</v>
      </c>
      <c r="B17" s="27">
        <f>$B7+$B8+$B9</f>
        <v>29</v>
      </c>
      <c r="C17" s="96">
        <f>($B7*C7+$B8*C8+$B9*C9)/($B7+$B8+$B9)</f>
        <v>291.24137931034483</v>
      </c>
      <c r="D17" s="27">
        <f>(D7+D8+D9)</f>
        <v>440</v>
      </c>
      <c r="E17" s="85">
        <f t="shared" ref="E17:J17" si="4">($B7*E7+$B8*E8+$B9*E9)/($B7+$B8+$B9)</f>
        <v>7143.0498152467871</v>
      </c>
      <c r="F17" s="85">
        <f t="shared" si="4"/>
        <v>53594.411211578183</v>
      </c>
      <c r="G17" s="124">
        <f t="shared" si="4"/>
        <v>3.1734307570952143E-2</v>
      </c>
      <c r="H17" s="85">
        <f t="shared" si="4"/>
        <v>8.9553677766505437</v>
      </c>
      <c r="I17" s="85">
        <f>(I7+I8+I9)</f>
        <v>3773.1411209166799</v>
      </c>
      <c r="J17" s="85">
        <f t="shared" si="4"/>
        <v>18.586902073481184</v>
      </c>
      <c r="K17" s="41"/>
      <c r="L17" s="41"/>
    </row>
    <row r="18" spans="1:12" ht="15" thickBot="1" x14ac:dyDescent="0.4">
      <c r="A18" s="44" t="s">
        <v>29</v>
      </c>
      <c r="B18" s="16">
        <f>$B4+$B5+$B6</f>
        <v>39</v>
      </c>
      <c r="C18" s="97">
        <f>($B4*C4+$B5*C5+$B6*C6)/($B4+$B5+$B6)</f>
        <v>128.92307692307693</v>
      </c>
      <c r="D18" s="6">
        <f>(D4+D5+D6)</f>
        <v>1339</v>
      </c>
      <c r="E18" s="86">
        <f t="shared" ref="E18:J18" si="5">($B4*E4+$B5*E5+$B6*E6)/($B4+$B5+$B6)</f>
        <v>977.95134310238211</v>
      </c>
      <c r="F18" s="86">
        <f t="shared" si="5"/>
        <v>4049.0493241785744</v>
      </c>
      <c r="G18" s="125">
        <f t="shared" si="5"/>
        <v>3.9577949401688087E-2</v>
      </c>
      <c r="H18" s="86">
        <f t="shared" si="5"/>
        <v>1.8000322948876171</v>
      </c>
      <c r="I18" s="86">
        <f>(I4+I5+I6)</f>
        <v>2413.1645177629298</v>
      </c>
      <c r="J18" s="86">
        <f t="shared" si="5"/>
        <v>8.8394304679960793</v>
      </c>
      <c r="K18" s="41"/>
      <c r="L18" s="41"/>
    </row>
    <row r="19" spans="1:12" ht="15" thickBot="1" x14ac:dyDescent="0.4">
      <c r="A19" s="45" t="s">
        <v>31</v>
      </c>
      <c r="B19" s="17">
        <f>$B11+$B12+$B13</f>
        <v>27</v>
      </c>
      <c r="C19" s="98">
        <f>($B11*C11+$B12*C12+$B13*C13)/($B11+$B12+$B13)</f>
        <v>107.4074074074074</v>
      </c>
      <c r="D19" s="10">
        <f>(D11+D12+D13)</f>
        <v>1019</v>
      </c>
      <c r="E19" s="87">
        <f t="shared" ref="E19:J19" si="6">($B11*E11+$B12*E12+$B13*E13)/($B11+$B12+$B13)</f>
        <v>592.61618919989348</v>
      </c>
      <c r="F19" s="87">
        <f t="shared" si="6"/>
        <v>1442.452399638672</v>
      </c>
      <c r="G19" s="126">
        <f t="shared" si="6"/>
        <v>2.7062982305539968E-2</v>
      </c>
      <c r="H19" s="87">
        <f t="shared" si="6"/>
        <v>0.98390894763118897</v>
      </c>
      <c r="I19" s="87">
        <f>(I11+I12+I13)</f>
        <v>922.43835040692363</v>
      </c>
      <c r="J19" s="87">
        <f t="shared" si="6"/>
        <v>4.8806261926292258</v>
      </c>
      <c r="K19" s="41"/>
      <c r="L19" s="41"/>
    </row>
    <row r="20" spans="1:12" ht="15" thickBot="1" x14ac:dyDescent="0.4">
      <c r="A20" s="46" t="s">
        <v>30</v>
      </c>
      <c r="B20" s="18">
        <f>B10</f>
        <v>5</v>
      </c>
      <c r="C20" s="99">
        <f t="shared" ref="C20:J20" si="7">C10</f>
        <v>68</v>
      </c>
      <c r="D20" s="18">
        <f t="shared" si="7"/>
        <v>181</v>
      </c>
      <c r="E20" s="88">
        <f t="shared" si="7"/>
        <v>274.95496337434611</v>
      </c>
      <c r="F20" s="88">
        <f t="shared" si="7"/>
        <v>242.07839999999916</v>
      </c>
      <c r="G20" s="127">
        <f t="shared" si="7"/>
        <v>1.592557120349309E-2</v>
      </c>
      <c r="H20" s="88">
        <f t="shared" si="7"/>
        <v>0.54833333333333134</v>
      </c>
      <c r="I20" s="88">
        <f t="shared" si="7"/>
        <v>99.24833333333298</v>
      </c>
      <c r="J20" s="88">
        <f t="shared" si="7"/>
        <v>2.8356666666666563</v>
      </c>
      <c r="K20" s="41"/>
      <c r="L20" s="41"/>
    </row>
    <row r="21" spans="1:12" x14ac:dyDescent="0.35">
      <c r="A21" s="41"/>
      <c r="B21" s="41"/>
      <c r="C21" s="41"/>
      <c r="D21" s="41"/>
      <c r="E21" s="41"/>
      <c r="F21" s="41"/>
      <c r="G21" s="41"/>
      <c r="H21" s="41"/>
      <c r="I21" s="41"/>
      <c r="J21" s="41"/>
      <c r="K21" s="41"/>
      <c r="L21" s="41"/>
    </row>
    <row r="22" spans="1:12" x14ac:dyDescent="0.35">
      <c r="A22" s="41"/>
      <c r="B22" s="41"/>
      <c r="C22" s="41"/>
      <c r="D22" s="41"/>
      <c r="E22" s="41"/>
      <c r="F22" s="41"/>
      <c r="G22" s="41"/>
      <c r="H22" s="41"/>
      <c r="I22" s="41"/>
      <c r="J22" s="41"/>
      <c r="K22" s="41"/>
      <c r="L22" s="41"/>
    </row>
    <row r="23" spans="1:12" x14ac:dyDescent="0.35">
      <c r="A23" s="41"/>
      <c r="B23" s="41"/>
      <c r="C23" s="41"/>
      <c r="D23" s="41"/>
      <c r="E23" s="41"/>
      <c r="F23" s="41"/>
      <c r="G23" s="41"/>
      <c r="H23" s="41"/>
      <c r="I23" s="41"/>
      <c r="J23" s="41"/>
      <c r="K23" s="41"/>
      <c r="L23" s="41"/>
    </row>
    <row r="24" spans="1:12" x14ac:dyDescent="0.35">
      <c r="A24" s="41"/>
      <c r="B24" s="41"/>
      <c r="C24" s="41"/>
      <c r="D24" s="41"/>
      <c r="E24" s="41"/>
      <c r="F24" s="41"/>
      <c r="G24" s="41"/>
      <c r="H24" s="41"/>
      <c r="I24" s="41"/>
      <c r="J24" s="41"/>
      <c r="K24" s="41"/>
      <c r="L24" s="41"/>
    </row>
    <row r="25" spans="1:12" x14ac:dyDescent="0.35">
      <c r="A25" s="41"/>
      <c r="B25" s="41"/>
      <c r="C25" s="41"/>
      <c r="D25" s="41"/>
      <c r="E25" s="41"/>
      <c r="F25" s="41"/>
      <c r="G25" s="41"/>
      <c r="H25" s="41"/>
      <c r="I25" s="41"/>
      <c r="J25" s="41"/>
      <c r="K25" s="41"/>
      <c r="L25" s="41"/>
    </row>
    <row r="26" spans="1:12" x14ac:dyDescent="0.35">
      <c r="A26" s="41"/>
      <c r="B26" s="41"/>
      <c r="C26" s="41"/>
      <c r="D26" s="41"/>
      <c r="E26" s="41"/>
      <c r="F26" s="41"/>
      <c r="G26" s="41"/>
      <c r="H26" s="41"/>
      <c r="I26" s="41"/>
      <c r="J26" s="41"/>
      <c r="K26" s="41"/>
      <c r="L26" s="41"/>
    </row>
    <row r="27" spans="1:12" x14ac:dyDescent="0.35">
      <c r="A27" s="41"/>
      <c r="B27" s="41"/>
      <c r="C27" s="41"/>
      <c r="D27" s="41"/>
      <c r="E27" s="41"/>
      <c r="F27" s="41"/>
      <c r="G27" s="41"/>
      <c r="H27" s="41"/>
      <c r="I27" s="41"/>
      <c r="J27" s="41"/>
      <c r="K27" s="41"/>
      <c r="L27" s="41"/>
    </row>
    <row r="28" spans="1:12" x14ac:dyDescent="0.35">
      <c r="A28" s="41"/>
      <c r="B28" s="41"/>
      <c r="C28" s="41"/>
      <c r="D28" s="41"/>
      <c r="E28" s="41"/>
      <c r="F28" s="41"/>
      <c r="G28" s="41"/>
      <c r="H28" s="41"/>
      <c r="I28" s="41"/>
      <c r="J28" s="41"/>
      <c r="K28" s="41"/>
      <c r="L28" s="4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zoomScale="70" zoomScaleNormal="70" workbookViewId="0">
      <selection activeCell="G4" sqref="G4:G21"/>
    </sheetView>
  </sheetViews>
  <sheetFormatPr baseColWidth="10" defaultColWidth="11.453125" defaultRowHeight="14.5" x14ac:dyDescent="0.35"/>
  <cols>
    <col min="1" max="1" width="27.7265625" style="2" customWidth="1"/>
    <col min="2" max="2" width="11" style="2" customWidth="1"/>
    <col min="3" max="3" width="12"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17" ht="15.5" thickTop="1" thickBot="1" x14ac:dyDescent="0.4">
      <c r="A1" s="24" t="s">
        <v>8</v>
      </c>
      <c r="B1" s="30">
        <v>82.4</v>
      </c>
      <c r="C1" s="48"/>
      <c r="D1" s="41"/>
      <c r="E1" s="41"/>
      <c r="F1" s="41"/>
      <c r="G1" s="41"/>
      <c r="H1" s="41"/>
      <c r="I1" s="41"/>
      <c r="J1" s="41"/>
      <c r="K1" s="41"/>
      <c r="L1" s="41"/>
    </row>
    <row r="2" spans="1:17" ht="15.5" thickTop="1" thickBot="1" x14ac:dyDescent="0.4">
      <c r="A2" s="41"/>
      <c r="B2" s="41"/>
      <c r="C2" s="41"/>
      <c r="D2" s="41"/>
      <c r="E2" s="41"/>
      <c r="F2" s="41"/>
      <c r="G2" s="41"/>
      <c r="H2" s="41"/>
      <c r="I2" s="41"/>
      <c r="J2" s="41"/>
      <c r="K2" s="41"/>
      <c r="L2" s="41"/>
    </row>
    <row r="3" spans="1:17" ht="15.5" thickTop="1" thickBot="1" x14ac:dyDescent="0.4">
      <c r="A3" s="24" t="s">
        <v>2</v>
      </c>
      <c r="B3" s="24" t="s">
        <v>12</v>
      </c>
      <c r="C3" s="24" t="s">
        <v>0</v>
      </c>
      <c r="D3" s="24" t="s">
        <v>13</v>
      </c>
      <c r="E3" s="24" t="s">
        <v>9</v>
      </c>
      <c r="F3" s="24" t="s">
        <v>10</v>
      </c>
      <c r="G3" s="24" t="s">
        <v>1</v>
      </c>
      <c r="H3" s="24" t="s">
        <v>11</v>
      </c>
      <c r="I3" s="24" t="s">
        <v>15</v>
      </c>
      <c r="J3" s="24" t="s">
        <v>16</v>
      </c>
      <c r="K3" s="41"/>
      <c r="L3" s="41"/>
    </row>
    <row r="4" spans="1:17" ht="15.5" thickTop="1" thickBot="1" x14ac:dyDescent="0.4">
      <c r="A4" s="42" t="s">
        <v>34</v>
      </c>
      <c r="B4" s="15">
        <v>5</v>
      </c>
      <c r="C4" s="3">
        <v>156</v>
      </c>
      <c r="D4" s="3">
        <v>208</v>
      </c>
      <c r="E4" s="89">
        <v>661.84283255918172</v>
      </c>
      <c r="F4" s="90">
        <v>2789.5622947024294</v>
      </c>
      <c r="G4" s="122">
        <f>F4*100/(E4*C4*$B$1)</f>
        <v>3.2789091537433035E-2</v>
      </c>
      <c r="H4" s="90">
        <f>Q4*24</f>
        <v>1.4189320608176494</v>
      </c>
      <c r="I4" s="89">
        <f>H4*D4</f>
        <v>295.13786865007108</v>
      </c>
      <c r="J4" s="89">
        <f>I4/(7*B4)</f>
        <v>8.4325105328591743</v>
      </c>
      <c r="K4" s="41"/>
      <c r="L4" s="41"/>
      <c r="Q4" s="4">
        <v>5.9122169200735389E-2</v>
      </c>
    </row>
    <row r="5" spans="1:17" ht="15" thickBot="1" x14ac:dyDescent="0.4">
      <c r="A5" s="43" t="s">
        <v>35</v>
      </c>
      <c r="B5" s="15">
        <v>24</v>
      </c>
      <c r="C5" s="3">
        <v>124</v>
      </c>
      <c r="D5" s="4">
        <v>744</v>
      </c>
      <c r="E5" s="89">
        <v>907.16192355170779</v>
      </c>
      <c r="F5" s="89">
        <v>3645.9044699392825</v>
      </c>
      <c r="G5" s="122">
        <f t="shared" ref="G5:G15" si="0">F5*100/(E5*C5*$B$1)</f>
        <v>3.9334313513149831E-2</v>
      </c>
      <c r="H5" s="90">
        <f t="shared" ref="H5:H15" si="1">Q5*24</f>
        <v>1.7139821264768571</v>
      </c>
      <c r="I5" s="89">
        <f t="shared" ref="I5:I15" si="2">H5*D5</f>
        <v>1275.2027020987816</v>
      </c>
      <c r="J5" s="89">
        <f t="shared" ref="J5:J15" si="3">I5/(7*B5)</f>
        <v>7.5904922743975094</v>
      </c>
      <c r="K5" s="41"/>
      <c r="L5" s="41"/>
      <c r="Q5" s="4">
        <v>7.1415921936535717E-2</v>
      </c>
    </row>
    <row r="6" spans="1:17" ht="15" thickBot="1" x14ac:dyDescent="0.4">
      <c r="A6" s="44" t="s">
        <v>36</v>
      </c>
      <c r="B6" s="16">
        <v>9</v>
      </c>
      <c r="C6" s="6">
        <v>124</v>
      </c>
      <c r="D6" s="7">
        <v>344</v>
      </c>
      <c r="E6" s="92">
        <v>994.44651646960233</v>
      </c>
      <c r="F6" s="92">
        <v>4852.7907538794207</v>
      </c>
      <c r="G6" s="122">
        <f t="shared" si="0"/>
        <v>4.7759661261015857E-2</v>
      </c>
      <c r="H6" s="90">
        <f t="shared" si="1"/>
        <v>1.8221876535171022</v>
      </c>
      <c r="I6" s="89">
        <f t="shared" si="2"/>
        <v>626.83255280988317</v>
      </c>
      <c r="J6" s="89">
        <f t="shared" si="3"/>
        <v>9.9497230604743354</v>
      </c>
      <c r="K6" s="41"/>
      <c r="L6" s="41"/>
      <c r="Q6" s="7">
        <v>7.5924485563212588E-2</v>
      </c>
    </row>
    <row r="7" spans="1:17" ht="15" thickBot="1" x14ac:dyDescent="0.4">
      <c r="A7" s="44" t="s">
        <v>37</v>
      </c>
      <c r="B7" s="16">
        <v>14</v>
      </c>
      <c r="C7" s="6">
        <v>278</v>
      </c>
      <c r="D7" s="7">
        <v>232</v>
      </c>
      <c r="E7" s="92">
        <v>5900.1956634436774</v>
      </c>
      <c r="F7" s="92">
        <v>37161.262350630255</v>
      </c>
      <c r="G7" s="122">
        <f t="shared" si="0"/>
        <v>2.7494893176635078E-2</v>
      </c>
      <c r="H7" s="90">
        <f t="shared" si="1"/>
        <v>7.4239342850417787</v>
      </c>
      <c r="I7" s="89">
        <f t="shared" si="2"/>
        <v>1722.3527541296926</v>
      </c>
      <c r="J7" s="89">
        <f t="shared" si="3"/>
        <v>17.575028103364211</v>
      </c>
      <c r="K7" s="41"/>
      <c r="L7" s="41"/>
      <c r="Q7" s="7">
        <v>0.30933059521007411</v>
      </c>
    </row>
    <row r="8" spans="1:17" ht="15" thickBot="1" x14ac:dyDescent="0.4">
      <c r="A8" s="45" t="s">
        <v>38</v>
      </c>
      <c r="B8" s="17">
        <v>7</v>
      </c>
      <c r="C8" s="9">
        <v>275</v>
      </c>
      <c r="D8" s="9">
        <v>72</v>
      </c>
      <c r="E8" s="93">
        <v>8377.3380432429785</v>
      </c>
      <c r="F8" s="93">
        <v>67288.754470771688</v>
      </c>
      <c r="G8" s="122">
        <f t="shared" si="0"/>
        <v>3.5446759893113092E-2</v>
      </c>
      <c r="H8" s="90">
        <f t="shared" si="1"/>
        <v>10.505224381977488</v>
      </c>
      <c r="I8" s="89">
        <f t="shared" si="2"/>
        <v>756.37615550237911</v>
      </c>
      <c r="J8" s="89">
        <f t="shared" si="3"/>
        <v>15.436248071477124</v>
      </c>
      <c r="K8" s="41"/>
      <c r="L8" s="41"/>
      <c r="Q8" s="9">
        <v>0.4377176825823953</v>
      </c>
    </row>
    <row r="9" spans="1:17" ht="15" thickBot="1" x14ac:dyDescent="0.4">
      <c r="A9" s="45" t="s">
        <v>49</v>
      </c>
      <c r="B9" s="17">
        <v>8</v>
      </c>
      <c r="C9" s="9">
        <v>383</v>
      </c>
      <c r="D9" s="9">
        <v>97</v>
      </c>
      <c r="E9" s="93">
        <v>9179.6974894493651</v>
      </c>
      <c r="F9" s="93">
        <v>88368.771437903924</v>
      </c>
      <c r="G9" s="122">
        <f t="shared" si="0"/>
        <v>3.0503133955002783E-2</v>
      </c>
      <c r="H9" s="90">
        <f t="shared" si="1"/>
        <v>11.210712128228916</v>
      </c>
      <c r="I9" s="89">
        <f t="shared" si="2"/>
        <v>1087.4390764382049</v>
      </c>
      <c r="J9" s="89">
        <f t="shared" si="3"/>
        <v>19.418554936396514</v>
      </c>
      <c r="K9" s="41"/>
      <c r="L9" s="41"/>
      <c r="Q9" s="9">
        <v>0.46711300534287153</v>
      </c>
    </row>
    <row r="10" spans="1:17" ht="15" thickBot="1" x14ac:dyDescent="0.4">
      <c r="A10" s="46" t="s">
        <v>41</v>
      </c>
      <c r="B10" s="18">
        <v>8</v>
      </c>
      <c r="C10" s="12">
        <v>116</v>
      </c>
      <c r="D10" s="12">
        <v>325</v>
      </c>
      <c r="E10" s="94">
        <v>671.50310047439689</v>
      </c>
      <c r="F10" s="94">
        <v>481.5599999999983</v>
      </c>
      <c r="G10" s="122">
        <f t="shared" si="0"/>
        <v>7.5026931130361295E-3</v>
      </c>
      <c r="H10" s="90">
        <f t="shared" si="1"/>
        <v>0.54833333333333478</v>
      </c>
      <c r="I10" s="89">
        <f t="shared" si="2"/>
        <v>178.2083333333338</v>
      </c>
      <c r="J10" s="89">
        <f t="shared" si="3"/>
        <v>3.182291666666675</v>
      </c>
      <c r="K10" s="41"/>
      <c r="L10" s="41"/>
      <c r="Q10" s="12">
        <v>2.2847222222222283E-2</v>
      </c>
    </row>
    <row r="11" spans="1:17" x14ac:dyDescent="0.35">
      <c r="A11" s="41" t="s">
        <v>42</v>
      </c>
      <c r="B11" s="41">
        <v>1</v>
      </c>
      <c r="C11" s="41">
        <v>141</v>
      </c>
      <c r="D11" s="41">
        <v>15</v>
      </c>
      <c r="E11" s="95">
        <v>1076.1464445040738</v>
      </c>
      <c r="F11" s="95">
        <v>481.55999999999972</v>
      </c>
      <c r="G11" s="122">
        <f t="shared" si="0"/>
        <v>3.8515248677965333E-3</v>
      </c>
      <c r="H11" s="90">
        <f t="shared" si="1"/>
        <v>0.54833333333333345</v>
      </c>
      <c r="I11" s="89">
        <f t="shared" si="2"/>
        <v>8.2250000000000014</v>
      </c>
      <c r="J11" s="89">
        <f t="shared" si="3"/>
        <v>1.1750000000000003</v>
      </c>
      <c r="K11" s="41"/>
      <c r="L11" s="41"/>
      <c r="Q11" s="41">
        <v>2.2847222222222227E-2</v>
      </c>
    </row>
    <row r="12" spans="1:17" ht="38.25" customHeight="1" x14ac:dyDescent="0.35">
      <c r="A12" s="41" t="s">
        <v>43</v>
      </c>
      <c r="B12" s="41">
        <v>6</v>
      </c>
      <c r="C12" s="41">
        <v>68</v>
      </c>
      <c r="D12" s="41">
        <v>253</v>
      </c>
      <c r="E12" s="95">
        <v>279.5122720951374</v>
      </c>
      <c r="F12" s="95">
        <v>242.07839999999919</v>
      </c>
      <c r="G12" s="122">
        <f t="shared" si="0"/>
        <v>1.5456780348208346E-2</v>
      </c>
      <c r="H12" s="90">
        <f t="shared" si="1"/>
        <v>0.54833333333333123</v>
      </c>
      <c r="I12" s="89">
        <f t="shared" si="2"/>
        <v>138.72833333333281</v>
      </c>
      <c r="J12" s="89">
        <f t="shared" si="3"/>
        <v>3.303055555555543</v>
      </c>
      <c r="K12" s="41"/>
      <c r="L12" s="41"/>
      <c r="Q12" s="41">
        <v>2.2847222222222133E-2</v>
      </c>
    </row>
    <row r="13" spans="1:17" x14ac:dyDescent="0.35">
      <c r="A13" s="41" t="s">
        <v>40</v>
      </c>
      <c r="B13" s="41">
        <v>7</v>
      </c>
      <c r="C13" s="41">
        <v>100</v>
      </c>
      <c r="D13" s="41">
        <v>169</v>
      </c>
      <c r="E13" s="95">
        <v>578.11107168071408</v>
      </c>
      <c r="F13" s="95">
        <v>2191.9490678709326</v>
      </c>
      <c r="G13" s="122">
        <f t="shared" si="0"/>
        <v>4.6014208933715134E-2</v>
      </c>
      <c r="H13" s="90">
        <f t="shared" si="1"/>
        <v>1.3522358766305855</v>
      </c>
      <c r="I13" s="89">
        <f t="shared" si="2"/>
        <v>228.52786315056895</v>
      </c>
      <c r="J13" s="89">
        <f t="shared" si="3"/>
        <v>4.6638339418483454</v>
      </c>
      <c r="K13" s="41"/>
      <c r="L13" s="41"/>
      <c r="Q13" s="41">
        <v>5.6343161526274395E-2</v>
      </c>
    </row>
    <row r="14" spans="1:17" x14ac:dyDescent="0.35">
      <c r="A14" s="47" t="s">
        <v>39</v>
      </c>
      <c r="B14" s="47">
        <v>5</v>
      </c>
      <c r="C14" s="47">
        <v>92</v>
      </c>
      <c r="D14" s="41">
        <v>253</v>
      </c>
      <c r="E14" s="95">
        <v>614.5412919653653</v>
      </c>
      <c r="F14" s="95">
        <v>2393.0696919666193</v>
      </c>
      <c r="G14" s="122">
        <f t="shared" si="0"/>
        <v>5.1367595657045212E-2</v>
      </c>
      <c r="H14" s="90">
        <f t="shared" si="1"/>
        <v>1.4395434481184228</v>
      </c>
      <c r="I14" s="89">
        <f t="shared" si="2"/>
        <v>364.20449237396099</v>
      </c>
      <c r="J14" s="89">
        <f t="shared" si="3"/>
        <v>10.405842639256027</v>
      </c>
      <c r="K14" s="41"/>
      <c r="L14" s="41"/>
      <c r="Q14" s="41">
        <v>5.998097700493428E-2</v>
      </c>
    </row>
    <row r="15" spans="1:17" x14ac:dyDescent="0.35">
      <c r="A15" s="47" t="s">
        <v>44</v>
      </c>
      <c r="B15" s="47">
        <v>2</v>
      </c>
      <c r="C15" s="47">
        <v>116</v>
      </c>
      <c r="D15" s="47">
        <v>79</v>
      </c>
      <c r="E15" s="95">
        <v>548.79486434737805</v>
      </c>
      <c r="F15" s="95">
        <v>570.04080000000033</v>
      </c>
      <c r="G15" s="122">
        <f t="shared" si="0"/>
        <v>1.0867025881766437E-2</v>
      </c>
      <c r="H15" s="90">
        <f t="shared" si="1"/>
        <v>0.54833333333333367</v>
      </c>
      <c r="I15" s="89">
        <f t="shared" si="2"/>
        <v>43.318333333333364</v>
      </c>
      <c r="J15" s="89">
        <f t="shared" si="3"/>
        <v>3.094166666666669</v>
      </c>
      <c r="K15" s="41"/>
      <c r="L15" s="41"/>
      <c r="Q15" s="41">
        <v>2.2847222222222238E-2</v>
      </c>
    </row>
    <row r="16" spans="1:17" ht="15" thickBot="1" x14ac:dyDescent="0.4">
      <c r="G16" s="120"/>
      <c r="K16" s="41"/>
      <c r="L16" s="41"/>
    </row>
    <row r="17" spans="1:10" ht="30" thickTop="1" thickBot="1" x14ac:dyDescent="0.4">
      <c r="A17" s="24" t="s">
        <v>3</v>
      </c>
      <c r="B17" s="24" t="s">
        <v>12</v>
      </c>
      <c r="C17" s="29" t="s">
        <v>19</v>
      </c>
      <c r="D17" s="29" t="s">
        <v>14</v>
      </c>
      <c r="E17" s="24" t="s">
        <v>9</v>
      </c>
      <c r="F17" s="24" t="s">
        <v>10</v>
      </c>
      <c r="G17" s="123" t="s">
        <v>1</v>
      </c>
      <c r="H17" s="24" t="s">
        <v>11</v>
      </c>
      <c r="I17" s="29" t="s">
        <v>17</v>
      </c>
      <c r="J17" s="24" t="s">
        <v>18</v>
      </c>
    </row>
    <row r="18" spans="1:10" ht="15.5" thickTop="1" thickBot="1" x14ac:dyDescent="0.4">
      <c r="A18" s="28" t="s">
        <v>4</v>
      </c>
      <c r="B18" s="27">
        <f>$B9+$B7+$B8</f>
        <v>29</v>
      </c>
      <c r="C18" s="96">
        <f>($B9*C9+$B7*C7+$B8*C8)/($B9+$B7+$B8)</f>
        <v>306.24137931034483</v>
      </c>
      <c r="D18" s="27">
        <f>(D9+D7+D8)</f>
        <v>401</v>
      </c>
      <c r="E18" s="85">
        <f t="shared" ref="E18:J18" si="4">($B9*E9+$B7*E7+$B8*E8)/($B9+$B7+$B8)</f>
        <v>7402.8167416036986</v>
      </c>
      <c r="F18" s="85">
        <f t="shared" si="4"/>
        <v>58559.625024395056</v>
      </c>
      <c r="G18" s="124">
        <f t="shared" si="4"/>
        <v>3.0244168805679483E-2</v>
      </c>
      <c r="H18" s="85">
        <f t="shared" si="4"/>
        <v>9.212322334146851</v>
      </c>
      <c r="I18" s="85">
        <f>(I9+I7+I8)</f>
        <v>3566.167986070277</v>
      </c>
      <c r="J18" s="85">
        <f t="shared" si="4"/>
        <v>17.567329980641759</v>
      </c>
    </row>
    <row r="19" spans="1:10" ht="15" thickBot="1" x14ac:dyDescent="0.4">
      <c r="A19" s="21" t="s">
        <v>29</v>
      </c>
      <c r="B19" s="16">
        <f>B4+B5+B6+B10+B11</f>
        <v>47</v>
      </c>
      <c r="C19" s="97">
        <f>($B4*C4+$B5*C5+$B6*C6+$B10*C10+$B11*C11)/($B4+$B5+$B6+$B10+$B11)</f>
        <v>126.40425531914893</v>
      </c>
      <c r="D19" s="6">
        <f>(D4+D5+D6+D10+D11)</f>
        <v>1636</v>
      </c>
      <c r="E19" s="86">
        <f t="shared" ref="E19:J19" si="5">($B4*E4+$B5*E5+$B6*E6+$B10*E10+$B11*E11)/($B4+$B5+$B6+$B10+$B11)</f>
        <v>861.26149413962912</v>
      </c>
      <c r="F19" s="86">
        <f t="shared" si="5"/>
        <v>3179.9718199355252</v>
      </c>
      <c r="G19" s="125">
        <f t="shared" si="5"/>
        <v>3.4078276662212539E-2</v>
      </c>
      <c r="H19" s="86">
        <f t="shared" si="5"/>
        <v>1.4801046855571649</v>
      </c>
      <c r="I19" s="86">
        <f>(I4+I5+I6+I10+I11)</f>
        <v>2383.6064568920697</v>
      </c>
      <c r="J19" s="86">
        <f t="shared" si="5"/>
        <v>7.2450044282433721</v>
      </c>
    </row>
    <row r="20" spans="1:10" ht="15" thickBot="1" x14ac:dyDescent="0.4">
      <c r="A20" s="22" t="s">
        <v>31</v>
      </c>
      <c r="B20" s="17">
        <f>$B13+$B14+$B15</f>
        <v>14</v>
      </c>
      <c r="C20" s="98">
        <f>($B13*C13+$B14*C14+$B15*C15)/($B13+$B14)</f>
        <v>116</v>
      </c>
      <c r="D20" s="10">
        <f>(D13+D14+D15)</f>
        <v>501</v>
      </c>
      <c r="E20" s="87">
        <f t="shared" ref="E20:J20" si="6">($B13*E13+$B14*E14+$B15*E15)/($B13+$B14)</f>
        <v>684.75614085721509</v>
      </c>
      <c r="F20" s="87">
        <f t="shared" si="6"/>
        <v>2370.7561279108022</v>
      </c>
      <c r="G20" s="126">
        <f t="shared" si="6"/>
        <v>5.0055957715397066E-2</v>
      </c>
      <c r="H20" s="87">
        <f t="shared" si="6"/>
        <v>1.4800029203060736</v>
      </c>
      <c r="I20" s="87">
        <f>(I13+I14+I15)</f>
        <v>636.05068885786329</v>
      </c>
      <c r="J20" s="87">
        <f t="shared" si="6"/>
        <v>7.5720320102126566</v>
      </c>
    </row>
    <row r="21" spans="1:10" ht="15" thickBot="1" x14ac:dyDescent="0.4">
      <c r="A21" s="23" t="s">
        <v>30</v>
      </c>
      <c r="B21" s="18">
        <f>B12</f>
        <v>6</v>
      </c>
      <c r="C21" s="99">
        <f t="shared" ref="C21:J21" si="7">C12</f>
        <v>68</v>
      </c>
      <c r="D21" s="18">
        <f t="shared" si="7"/>
        <v>253</v>
      </c>
      <c r="E21" s="88">
        <f t="shared" si="7"/>
        <v>279.5122720951374</v>
      </c>
      <c r="F21" s="88">
        <f t="shared" si="7"/>
        <v>242.07839999999919</v>
      </c>
      <c r="G21" s="127">
        <f t="shared" si="7"/>
        <v>1.5456780348208346E-2</v>
      </c>
      <c r="H21" s="88">
        <f t="shared" si="7"/>
        <v>0.54833333333333123</v>
      </c>
      <c r="I21" s="88">
        <f t="shared" si="7"/>
        <v>138.72833333333281</v>
      </c>
      <c r="J21" s="88">
        <f t="shared" si="7"/>
        <v>3.303055555555543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1"/>
  <sheetViews>
    <sheetView zoomScale="60" zoomScaleNormal="60" workbookViewId="0">
      <selection activeCell="F12" sqref="F12"/>
    </sheetView>
  </sheetViews>
  <sheetFormatPr baseColWidth="10" defaultColWidth="11.453125" defaultRowHeight="14.5" x14ac:dyDescent="0.35"/>
  <cols>
    <col min="1" max="1" width="27.7265625" style="2" customWidth="1"/>
    <col min="2" max="2" width="11" style="2" customWidth="1"/>
    <col min="3" max="3" width="12"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29" ht="15.5" thickTop="1" thickBot="1" x14ac:dyDescent="0.4">
      <c r="A1" s="1" t="s">
        <v>8</v>
      </c>
      <c r="B1" s="30">
        <v>86.5</v>
      </c>
      <c r="C1" s="31"/>
      <c r="X1" s="53"/>
      <c r="Y1" s="53"/>
      <c r="Z1" s="53"/>
      <c r="AA1" s="53"/>
      <c r="AB1" s="53"/>
      <c r="AC1" s="53"/>
    </row>
    <row r="2" spans="1:29" ht="15.5" thickTop="1" thickBot="1" x14ac:dyDescent="0.4">
      <c r="A2" s="41"/>
      <c r="B2" s="41"/>
      <c r="C2" s="41"/>
      <c r="D2" s="41"/>
      <c r="E2" s="41"/>
      <c r="F2" s="41"/>
      <c r="G2" s="41"/>
      <c r="H2" s="41"/>
      <c r="X2" s="53"/>
      <c r="Y2" s="53"/>
      <c r="Z2" s="54"/>
      <c r="AA2" s="54"/>
      <c r="AB2" s="54"/>
      <c r="AC2" s="53"/>
    </row>
    <row r="3" spans="1:29" ht="15.5" thickTop="1" thickBot="1" x14ac:dyDescent="0.4">
      <c r="A3" s="24" t="s">
        <v>2</v>
      </c>
      <c r="B3" s="24" t="s">
        <v>12</v>
      </c>
      <c r="C3" s="24" t="s">
        <v>0</v>
      </c>
      <c r="D3" s="24" t="s">
        <v>13</v>
      </c>
      <c r="E3" s="24" t="s">
        <v>9</v>
      </c>
      <c r="F3" s="24" t="s">
        <v>10</v>
      </c>
      <c r="G3" s="24" t="s">
        <v>1</v>
      </c>
      <c r="H3" s="24" t="s">
        <v>11</v>
      </c>
      <c r="I3" s="24" t="s">
        <v>15</v>
      </c>
      <c r="J3" s="24" t="s">
        <v>16</v>
      </c>
      <c r="X3" s="53"/>
      <c r="Y3" s="53"/>
      <c r="Z3" s="54"/>
      <c r="AA3" s="54"/>
      <c r="AB3" s="54"/>
      <c r="AC3" s="53"/>
    </row>
    <row r="4" spans="1:29" ht="15.5" thickTop="1" thickBot="1" x14ac:dyDescent="0.4">
      <c r="A4" s="42" t="s">
        <v>34</v>
      </c>
      <c r="B4" s="15">
        <v>5</v>
      </c>
      <c r="C4" s="3">
        <v>156</v>
      </c>
      <c r="D4" s="3">
        <v>175</v>
      </c>
      <c r="E4" s="89">
        <v>725.73273805276153</v>
      </c>
      <c r="F4" s="90">
        <v>2954.9950097537039</v>
      </c>
      <c r="G4" s="122">
        <f>F4*100/(E4*C4*$B$1)</f>
        <v>3.0174447809999089E-2</v>
      </c>
      <c r="H4" s="90">
        <f>24*AA4</f>
        <v>1.4950837875935499</v>
      </c>
      <c r="I4" s="89">
        <f>H4*D4</f>
        <v>261.63966282887122</v>
      </c>
      <c r="J4" s="89">
        <f>I4/(7*B4)</f>
        <v>7.4754189379677491</v>
      </c>
      <c r="X4" s="53"/>
      <c r="Y4" s="53"/>
      <c r="Z4" s="54"/>
      <c r="AA4" s="55">
        <v>6.2295157816397911E-2</v>
      </c>
      <c r="AB4" s="54"/>
      <c r="AC4" s="53"/>
    </row>
    <row r="5" spans="1:29" ht="15" thickBot="1" x14ac:dyDescent="0.4">
      <c r="A5" s="43" t="s">
        <v>35</v>
      </c>
      <c r="B5" s="15">
        <v>22</v>
      </c>
      <c r="C5" s="3">
        <v>124</v>
      </c>
      <c r="D5" s="4">
        <v>639</v>
      </c>
      <c r="E5" s="89">
        <v>768.87112761324261</v>
      </c>
      <c r="F5" s="89">
        <v>3285.2263654764656</v>
      </c>
      <c r="G5" s="122">
        <f t="shared" ref="G5:G14" si="0">F5*100/(E5*C5*$B$1)</f>
        <v>3.9835837694113689E-2</v>
      </c>
      <c r="H5" s="90">
        <f t="shared" ref="H5:H14" si="1">24*AA5</f>
        <v>1.5460621044179681</v>
      </c>
      <c r="I5" s="89">
        <f t="shared" ref="I5:I14" si="2">H5*D5</f>
        <v>987.93368472308157</v>
      </c>
      <c r="J5" s="89">
        <f t="shared" ref="J5:J14" si="3">I5/(7*B5)</f>
        <v>6.4151537969031267</v>
      </c>
      <c r="X5" s="53"/>
      <c r="Y5" s="53"/>
      <c r="Z5" s="54"/>
      <c r="AA5" s="55">
        <v>6.4419254350748675E-2</v>
      </c>
      <c r="AB5" s="54"/>
      <c r="AC5" s="53"/>
    </row>
    <row r="6" spans="1:29" ht="15" thickBot="1" x14ac:dyDescent="0.4">
      <c r="A6" s="44" t="s">
        <v>36</v>
      </c>
      <c r="B6" s="16">
        <v>9</v>
      </c>
      <c r="C6" s="6">
        <v>124</v>
      </c>
      <c r="D6" s="7">
        <v>273</v>
      </c>
      <c r="E6" s="92">
        <v>1153.4872287254523</v>
      </c>
      <c r="F6" s="92">
        <v>5378.5478475177315</v>
      </c>
      <c r="G6" s="122">
        <f t="shared" si="0"/>
        <v>4.3472483709278739E-2</v>
      </c>
      <c r="H6" s="90">
        <f t="shared" si="1"/>
        <v>2.0146745264793573</v>
      </c>
      <c r="I6" s="89">
        <f t="shared" si="2"/>
        <v>550.00614572886457</v>
      </c>
      <c r="J6" s="89">
        <f t="shared" si="3"/>
        <v>8.7302562814105489</v>
      </c>
      <c r="X6" s="53"/>
      <c r="Y6" s="53"/>
      <c r="Z6" s="54"/>
      <c r="AA6" s="55">
        <v>8.3944771936639892E-2</v>
      </c>
      <c r="AB6" s="54"/>
      <c r="AC6" s="53"/>
    </row>
    <row r="7" spans="1:29" ht="15" thickBot="1" x14ac:dyDescent="0.4">
      <c r="A7" s="44" t="s">
        <v>37</v>
      </c>
      <c r="B7" s="16">
        <v>14</v>
      </c>
      <c r="C7" s="6">
        <v>278</v>
      </c>
      <c r="D7" s="7">
        <v>191</v>
      </c>
      <c r="E7" s="92">
        <v>5835.9508414912552</v>
      </c>
      <c r="F7" s="92">
        <v>36777.132174485501</v>
      </c>
      <c r="G7" s="122">
        <f t="shared" si="0"/>
        <v>2.6206277302228586E-2</v>
      </c>
      <c r="H7" s="90">
        <f t="shared" si="1"/>
        <v>7.3500708714282625</v>
      </c>
      <c r="I7" s="89">
        <f t="shared" si="2"/>
        <v>1403.8635364427982</v>
      </c>
      <c r="J7" s="89">
        <f t="shared" si="3"/>
        <v>14.32513812696733</v>
      </c>
      <c r="X7" s="53"/>
      <c r="Y7" s="53"/>
      <c r="Z7" s="54"/>
      <c r="AA7" s="55">
        <v>0.30625295297617761</v>
      </c>
      <c r="AB7" s="54"/>
      <c r="AC7" s="53"/>
    </row>
    <row r="8" spans="1:29" ht="15" thickBot="1" x14ac:dyDescent="0.4">
      <c r="A8" s="45" t="s">
        <v>38</v>
      </c>
      <c r="B8" s="17">
        <v>5</v>
      </c>
      <c r="C8" s="9">
        <v>275</v>
      </c>
      <c r="D8" s="9">
        <v>53</v>
      </c>
      <c r="E8" s="93">
        <v>8318.6016452975673</v>
      </c>
      <c r="F8" s="93">
        <v>66437.310244360866</v>
      </c>
      <c r="G8" s="122">
        <f t="shared" si="0"/>
        <v>3.3574759660035654E-2</v>
      </c>
      <c r="H8" s="90">
        <f t="shared" si="1"/>
        <v>10.4390665821923</v>
      </c>
      <c r="I8" s="89">
        <f t="shared" si="2"/>
        <v>553.27052885619196</v>
      </c>
      <c r="J8" s="89">
        <f t="shared" si="3"/>
        <v>15.807729395891199</v>
      </c>
      <c r="X8" s="53"/>
      <c r="Y8" s="53"/>
      <c r="Z8" s="54"/>
      <c r="AA8" s="55">
        <v>0.43496110759134587</v>
      </c>
      <c r="AB8" s="54"/>
      <c r="AC8" s="53"/>
    </row>
    <row r="9" spans="1:29" ht="15" thickBot="1" x14ac:dyDescent="0.4">
      <c r="A9" s="45" t="s">
        <v>49</v>
      </c>
      <c r="B9" s="17">
        <v>10</v>
      </c>
      <c r="C9" s="9">
        <v>383</v>
      </c>
      <c r="D9" s="9">
        <v>109</v>
      </c>
      <c r="E9" s="93">
        <v>9028.6017026451682</v>
      </c>
      <c r="F9" s="93">
        <v>86975.660678315442</v>
      </c>
      <c r="G9" s="122">
        <f t="shared" si="0"/>
        <v>2.9077854590158797E-2</v>
      </c>
      <c r="H9" s="90">
        <f t="shared" si="1"/>
        <v>11.038065982762724</v>
      </c>
      <c r="I9" s="89">
        <f t="shared" si="2"/>
        <v>1203.1491921211368</v>
      </c>
      <c r="J9" s="89">
        <f t="shared" si="3"/>
        <v>17.187845601730526</v>
      </c>
      <c r="X9" s="53"/>
      <c r="Y9" s="53"/>
      <c r="Z9" s="54"/>
      <c r="AA9" s="55">
        <v>0.45991941594844687</v>
      </c>
      <c r="AB9" s="54"/>
      <c r="AC9" s="53"/>
    </row>
    <row r="10" spans="1:29" ht="15" thickBot="1" x14ac:dyDescent="0.4">
      <c r="A10" s="46" t="s">
        <v>41</v>
      </c>
      <c r="B10" s="41">
        <v>8</v>
      </c>
      <c r="C10" s="12">
        <v>116</v>
      </c>
      <c r="D10" s="12">
        <v>272</v>
      </c>
      <c r="E10" s="94">
        <v>639.88760123358384</v>
      </c>
      <c r="F10" s="94">
        <v>481.55999999999835</v>
      </c>
      <c r="G10" s="122">
        <f t="shared" si="0"/>
        <v>7.5001960195085282E-3</v>
      </c>
      <c r="H10" s="90">
        <f t="shared" si="1"/>
        <v>0.54833333333333401</v>
      </c>
      <c r="I10" s="89">
        <f t="shared" si="2"/>
        <v>149.14666666666685</v>
      </c>
      <c r="J10" s="89">
        <f t="shared" si="3"/>
        <v>2.6633333333333367</v>
      </c>
      <c r="X10" s="53"/>
      <c r="Y10" s="53"/>
      <c r="Z10" s="54"/>
      <c r="AA10" s="55">
        <v>2.2847222222222248E-2</v>
      </c>
      <c r="AB10" s="54"/>
      <c r="AC10" s="53"/>
    </row>
    <row r="11" spans="1:29" x14ac:dyDescent="0.35">
      <c r="A11" s="41" t="s">
        <v>42</v>
      </c>
      <c r="B11" s="18">
        <v>13</v>
      </c>
      <c r="C11" s="41">
        <v>141</v>
      </c>
      <c r="D11" s="41">
        <v>365</v>
      </c>
      <c r="E11" s="95">
        <v>870.40839085402445</v>
      </c>
      <c r="F11" s="95">
        <v>481.55999999999824</v>
      </c>
      <c r="G11" s="122">
        <f t="shared" si="0"/>
        <v>4.5361991892637768E-3</v>
      </c>
      <c r="H11" s="90">
        <f t="shared" si="1"/>
        <v>0.54833333333333434</v>
      </c>
      <c r="I11" s="89">
        <f t="shared" si="2"/>
        <v>200.14166666666702</v>
      </c>
      <c r="J11" s="89">
        <f t="shared" si="3"/>
        <v>2.1993589743589781</v>
      </c>
      <c r="X11" s="53"/>
      <c r="Y11" s="53"/>
      <c r="Z11" s="54"/>
      <c r="AA11" s="54">
        <v>2.2847222222222265E-2</v>
      </c>
      <c r="AB11" s="54"/>
      <c r="AC11" s="53"/>
    </row>
    <row r="12" spans="1:29" ht="14.5" customHeight="1" x14ac:dyDescent="0.35">
      <c r="A12" s="41" t="s">
        <v>43</v>
      </c>
      <c r="B12" s="41">
        <v>6</v>
      </c>
      <c r="C12" s="41">
        <v>68</v>
      </c>
      <c r="D12" s="41">
        <v>178</v>
      </c>
      <c r="E12" s="95">
        <v>287.99695860206839</v>
      </c>
      <c r="F12" s="95">
        <v>242.07839999999916</v>
      </c>
      <c r="G12" s="122">
        <f t="shared" si="0"/>
        <v>1.4290358324480286E-2</v>
      </c>
      <c r="H12" s="90">
        <f t="shared" si="1"/>
        <v>0.54833333333333123</v>
      </c>
      <c r="I12" s="89">
        <f t="shared" si="2"/>
        <v>97.603333333332955</v>
      </c>
      <c r="J12" s="89">
        <f t="shared" si="3"/>
        <v>2.32388888888888</v>
      </c>
      <c r="X12" s="53"/>
      <c r="Y12" s="53"/>
      <c r="Z12" s="54"/>
      <c r="AA12" s="54">
        <v>2.2847222222222133E-2</v>
      </c>
      <c r="AB12" s="54"/>
      <c r="AC12" s="53"/>
    </row>
    <row r="13" spans="1:29" x14ac:dyDescent="0.35">
      <c r="A13" s="41" t="s">
        <v>40</v>
      </c>
      <c r="B13" s="41">
        <v>7</v>
      </c>
      <c r="C13" s="41">
        <v>100</v>
      </c>
      <c r="D13" s="41">
        <v>282</v>
      </c>
      <c r="E13" s="95">
        <v>583.01504493530001</v>
      </c>
      <c r="F13" s="95">
        <v>2200.7889239595074</v>
      </c>
      <c r="G13" s="122">
        <f t="shared" si="0"/>
        <v>4.3639776950501481E-2</v>
      </c>
      <c r="H13" s="90">
        <f t="shared" si="1"/>
        <v>1.3584031748073624</v>
      </c>
      <c r="I13" s="89">
        <f t="shared" si="2"/>
        <v>383.06969529567618</v>
      </c>
      <c r="J13" s="89">
        <f t="shared" si="3"/>
        <v>7.817748883585228</v>
      </c>
      <c r="X13" s="53"/>
      <c r="Y13" s="53"/>
      <c r="Z13" s="54"/>
      <c r="AA13" s="54">
        <v>5.6600132283640095E-2</v>
      </c>
      <c r="AB13" s="54"/>
      <c r="AC13" s="53"/>
    </row>
    <row r="14" spans="1:29" x14ac:dyDescent="0.35">
      <c r="A14" s="47" t="s">
        <v>39</v>
      </c>
      <c r="B14" s="47">
        <v>2</v>
      </c>
      <c r="C14" s="47">
        <v>92</v>
      </c>
      <c r="D14" s="47">
        <v>24</v>
      </c>
      <c r="E14" s="95">
        <v>794.92525554511531</v>
      </c>
      <c r="F14" s="95">
        <v>2826.4720868188174</v>
      </c>
      <c r="G14" s="122">
        <f t="shared" si="0"/>
        <v>4.4680134409633358E-2</v>
      </c>
      <c r="H14" s="90">
        <f t="shared" si="1"/>
        <v>1.6730814973559847</v>
      </c>
      <c r="I14" s="89">
        <f t="shared" si="2"/>
        <v>40.153955936543632</v>
      </c>
      <c r="J14" s="89">
        <f t="shared" si="3"/>
        <v>2.8681397097531165</v>
      </c>
      <c r="X14" s="53"/>
      <c r="Y14" s="53"/>
      <c r="Z14" s="54"/>
      <c r="AA14" s="54">
        <v>6.9711729056499361E-2</v>
      </c>
      <c r="AB14" s="54"/>
      <c r="AC14" s="53"/>
    </row>
    <row r="15" spans="1:29" x14ac:dyDescent="0.35">
      <c r="G15" s="120"/>
      <c r="X15" s="53"/>
      <c r="Y15" s="53"/>
      <c r="Z15" s="54"/>
      <c r="AA15" s="54"/>
      <c r="AB15" s="54"/>
      <c r="AC15" s="53"/>
    </row>
    <row r="16" spans="1:29" ht="15" thickBot="1" x14ac:dyDescent="0.4">
      <c r="G16" s="120"/>
      <c r="X16" s="53"/>
      <c r="Y16" s="53"/>
      <c r="Z16" s="53"/>
      <c r="AA16" s="53"/>
      <c r="AB16" s="53"/>
      <c r="AC16" s="53"/>
    </row>
    <row r="17" spans="1:29" ht="30" thickTop="1" thickBot="1" x14ac:dyDescent="0.4">
      <c r="A17" s="24" t="s">
        <v>3</v>
      </c>
      <c r="B17" s="24" t="s">
        <v>12</v>
      </c>
      <c r="C17" s="29" t="s">
        <v>19</v>
      </c>
      <c r="D17" s="29" t="s">
        <v>14</v>
      </c>
      <c r="E17" s="24" t="s">
        <v>9</v>
      </c>
      <c r="F17" s="24" t="s">
        <v>10</v>
      </c>
      <c r="G17" s="123" t="s">
        <v>1</v>
      </c>
      <c r="H17" s="24" t="s">
        <v>11</v>
      </c>
      <c r="I17" s="29" t="s">
        <v>17</v>
      </c>
      <c r="J17" s="24" t="s">
        <v>18</v>
      </c>
      <c r="X17" s="53"/>
      <c r="Y17" s="53"/>
      <c r="Z17" s="53"/>
      <c r="AA17" s="53"/>
      <c r="AB17" s="53"/>
      <c r="AC17" s="53"/>
    </row>
    <row r="18" spans="1:29" ht="15.5" thickTop="1" thickBot="1" x14ac:dyDescent="0.4">
      <c r="A18" s="28" t="s">
        <v>4</v>
      </c>
      <c r="B18" s="27">
        <f>$B9+$B7+$B8</f>
        <v>29</v>
      </c>
      <c r="C18" s="96">
        <f>($B9*C9+$B7*C7+$B8*C8)/($B9+$B7+$B8)</f>
        <v>313.68965517241378</v>
      </c>
      <c r="D18" s="27">
        <f>(D9+D7+D8)</f>
        <v>353</v>
      </c>
      <c r="E18" s="85">
        <f t="shared" ref="E18:J18" si="4">($B9*E9+$B7*E7+$B8*E8)/($B9+$B7+$B8)</f>
        <v>7364.9081735798991</v>
      </c>
      <c r="F18" s="85">
        <f t="shared" si="4"/>
        <v>59200.793394750195</v>
      </c>
      <c r="G18" s="124">
        <f t="shared" si="4"/>
        <v>2.8466904359757465E-2</v>
      </c>
      <c r="H18" s="85">
        <f t="shared" si="4"/>
        <v>9.1543787909856693</v>
      </c>
      <c r="I18" s="85">
        <f>(I9+I7+I8)</f>
        <v>3160.283257420127</v>
      </c>
      <c r="J18" s="85">
        <f t="shared" si="4"/>
        <v>15.56789781980358</v>
      </c>
      <c r="X18" s="53"/>
      <c r="Y18" s="53"/>
      <c r="Z18" s="53"/>
      <c r="AA18" s="53"/>
      <c r="AB18" s="53"/>
      <c r="AC18" s="53"/>
    </row>
    <row r="19" spans="1:29" ht="15" thickBot="1" x14ac:dyDescent="0.4">
      <c r="A19" s="21" t="s">
        <v>29</v>
      </c>
      <c r="B19" s="16">
        <f>B4+B5+B6+B10+B11</f>
        <v>57</v>
      </c>
      <c r="C19" s="97">
        <f>($B4*C4+$B5*C5+$B6*C6+$B10*C10+$B11*C11)/($B4+$B5+$B6+$B10+$B11)</f>
        <v>129.56140350877192</v>
      </c>
      <c r="D19" s="6">
        <f>(D4+D5+D6+D10+D11)</f>
        <v>1724</v>
      </c>
      <c r="E19" s="86">
        <f t="shared" ref="E19:J19" si="5">($B4*E4+$B5*E5+$B6*E6+$B10*E10+$B11*E11)/($B4+$B5+$B6+$B10+$B11)</f>
        <v>830.87058679395091</v>
      </c>
      <c r="F19" s="86">
        <f t="shared" si="5"/>
        <v>2553.8534336300054</v>
      </c>
      <c r="G19" s="125">
        <f t="shared" si="5"/>
        <v>2.6973424198605305E-2</v>
      </c>
      <c r="H19" s="86">
        <f t="shared" si="5"/>
        <v>1.2479974732188996</v>
      </c>
      <c r="I19" s="86">
        <f>(I4+I5+I6+I10+I11)</f>
        <v>2148.867826614151</v>
      </c>
      <c r="J19" s="86">
        <f t="shared" si="5"/>
        <v>5.385633650662033</v>
      </c>
      <c r="W19" s="53"/>
      <c r="X19" s="53"/>
      <c r="Y19" s="53"/>
      <c r="Z19" s="53"/>
      <c r="AA19" s="53"/>
      <c r="AB19" s="53"/>
      <c r="AC19" s="53"/>
    </row>
    <row r="20" spans="1:29" ht="15" thickBot="1" x14ac:dyDescent="0.4">
      <c r="A20" s="22" t="s">
        <v>31</v>
      </c>
      <c r="B20" s="17">
        <f>$B13+$B14</f>
        <v>9</v>
      </c>
      <c r="C20" s="98">
        <f>($B13*C13+$B14*C14)/($B13+$B14)</f>
        <v>98.222222222222229</v>
      </c>
      <c r="D20" s="10">
        <f>(D13+D14)</f>
        <v>306</v>
      </c>
      <c r="E20" s="87">
        <f t="shared" ref="E20:J20" si="6">($B13*E13+$B14*E14)/($B13+$B14)</f>
        <v>630.10620284859237</v>
      </c>
      <c r="F20" s="87">
        <f t="shared" si="6"/>
        <v>2339.8296268171316</v>
      </c>
      <c r="G20" s="126">
        <f t="shared" si="6"/>
        <v>4.3870967496975236E-2</v>
      </c>
      <c r="H20" s="87">
        <f t="shared" si="6"/>
        <v>1.4283316909292785</v>
      </c>
      <c r="I20" s="87">
        <f>(I13+I14)</f>
        <v>423.22365123221982</v>
      </c>
      <c r="J20" s="87">
        <f t="shared" si="6"/>
        <v>6.7178357338447592</v>
      </c>
      <c r="X20" s="53"/>
      <c r="Y20" s="53"/>
      <c r="Z20" s="53"/>
      <c r="AA20" s="53"/>
      <c r="AB20" s="53"/>
      <c r="AC20" s="53"/>
    </row>
    <row r="21" spans="1:29" ht="15" thickBot="1" x14ac:dyDescent="0.4">
      <c r="A21" s="23" t="s">
        <v>30</v>
      </c>
      <c r="B21" s="18">
        <f>B12</f>
        <v>6</v>
      </c>
      <c r="C21" s="99">
        <f t="shared" ref="C21:J21" si="7">C12</f>
        <v>68</v>
      </c>
      <c r="D21" s="18">
        <f t="shared" si="7"/>
        <v>178</v>
      </c>
      <c r="E21" s="88">
        <f t="shared" si="7"/>
        <v>287.99695860206839</v>
      </c>
      <c r="F21" s="88">
        <f t="shared" si="7"/>
        <v>242.07839999999916</v>
      </c>
      <c r="G21" s="127">
        <f t="shared" si="7"/>
        <v>1.4290358324480286E-2</v>
      </c>
      <c r="H21" s="88">
        <f t="shared" si="7"/>
        <v>0.54833333333333123</v>
      </c>
      <c r="I21" s="88">
        <f t="shared" si="7"/>
        <v>97.603333333332955</v>
      </c>
      <c r="J21" s="88">
        <f t="shared" si="7"/>
        <v>2.32388888888888</v>
      </c>
      <c r="X21" s="53"/>
      <c r="Y21" s="53"/>
      <c r="Z21" s="53"/>
      <c r="AA21" s="53"/>
      <c r="AB21" s="53"/>
      <c r="AC21" s="53"/>
    </row>
    <row r="22" spans="1:29" x14ac:dyDescent="0.35">
      <c r="X22" s="53"/>
      <c r="Y22" s="53"/>
      <c r="Z22" s="53"/>
      <c r="AA22" s="53"/>
      <c r="AB22" s="53"/>
      <c r="AC22" s="53"/>
    </row>
    <row r="23" spans="1:29" x14ac:dyDescent="0.35">
      <c r="X23" s="53"/>
      <c r="Y23" s="53"/>
      <c r="Z23" s="53"/>
      <c r="AA23" s="53"/>
      <c r="AB23" s="53"/>
      <c r="AC23" s="53"/>
    </row>
    <row r="24" spans="1:29" x14ac:dyDescent="0.35">
      <c r="X24" s="53"/>
      <c r="Y24" s="53"/>
      <c r="Z24" s="53"/>
      <c r="AA24" s="53"/>
      <c r="AB24" s="53"/>
      <c r="AC24" s="53"/>
    </row>
    <row r="25" spans="1:29" x14ac:dyDescent="0.35">
      <c r="X25" s="53"/>
      <c r="Y25" s="53"/>
      <c r="Z25" s="53"/>
      <c r="AA25" s="53"/>
      <c r="AB25" s="53"/>
      <c r="AC25" s="53"/>
    </row>
    <row r="26" spans="1:29" x14ac:dyDescent="0.35">
      <c r="X26" s="53"/>
      <c r="Y26" s="53"/>
      <c r="Z26" s="53"/>
      <c r="AA26" s="53"/>
      <c r="AB26" s="53"/>
      <c r="AC26" s="53"/>
    </row>
    <row r="41" spans="5:5" x14ac:dyDescent="0.35">
      <c r="E41" s="5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5" zoomScaleNormal="85" workbookViewId="0">
      <selection activeCell="I13" sqref="I13"/>
    </sheetView>
  </sheetViews>
  <sheetFormatPr baseColWidth="10" defaultRowHeight="14.5" x14ac:dyDescent="0.35"/>
  <cols>
    <col min="1" max="1" width="22.54296875" customWidth="1"/>
  </cols>
  <sheetData>
    <row r="1" spans="1:12" s="2" customFormat="1" ht="15" thickBot="1" x14ac:dyDescent="0.4">
      <c r="B1" s="119"/>
      <c r="C1" s="119"/>
      <c r="D1" s="119"/>
      <c r="E1" s="119"/>
      <c r="F1" s="119"/>
      <c r="G1" s="119"/>
      <c r="H1" s="119"/>
      <c r="I1" s="119"/>
      <c r="J1" s="119"/>
      <c r="K1" s="119"/>
      <c r="L1" s="119"/>
    </row>
    <row r="2" spans="1:12" s="2" customFormat="1" ht="15.5" thickTop="1" thickBot="1" x14ac:dyDescent="0.4">
      <c r="A2" s="24" t="s">
        <v>3</v>
      </c>
      <c r="B2" s="24">
        <v>2008</v>
      </c>
      <c r="C2" s="24">
        <v>2009</v>
      </c>
      <c r="D2" s="24">
        <v>2010</v>
      </c>
      <c r="E2" s="24">
        <v>2011</v>
      </c>
      <c r="F2" s="24">
        <v>2012</v>
      </c>
      <c r="G2" s="24">
        <v>2013</v>
      </c>
      <c r="H2" s="24">
        <v>2014</v>
      </c>
      <c r="I2" s="24">
        <v>2015</v>
      </c>
      <c r="J2" s="24">
        <v>2016</v>
      </c>
      <c r="K2" s="24">
        <v>2017</v>
      </c>
      <c r="L2" s="24">
        <v>2018</v>
      </c>
    </row>
    <row r="3" spans="1:12" s="2" customFormat="1" ht="15.5" thickTop="1" thickBot="1" x14ac:dyDescent="0.4">
      <c r="A3" s="28" t="s">
        <v>4</v>
      </c>
      <c r="B3" s="26">
        <v>29</v>
      </c>
      <c r="C3" s="25">
        <v>30</v>
      </c>
      <c r="D3" s="67">
        <v>31</v>
      </c>
      <c r="E3" s="25">
        <v>28</v>
      </c>
      <c r="F3" s="26">
        <v>28</v>
      </c>
      <c r="G3" s="26">
        <v>32</v>
      </c>
      <c r="H3" s="26">
        <v>30</v>
      </c>
      <c r="I3" s="26">
        <v>30</v>
      </c>
      <c r="J3" s="26">
        <v>29</v>
      </c>
      <c r="K3" s="26">
        <v>29</v>
      </c>
      <c r="L3" s="26">
        <v>29</v>
      </c>
    </row>
    <row r="4" spans="1:12" s="2" customFormat="1" ht="15" thickBot="1" x14ac:dyDescent="0.4">
      <c r="A4" s="21" t="s">
        <v>5</v>
      </c>
      <c r="B4" s="7">
        <v>42</v>
      </c>
      <c r="C4" s="7">
        <v>51</v>
      </c>
      <c r="D4" s="68">
        <v>45</v>
      </c>
      <c r="E4" s="6">
        <v>45</v>
      </c>
      <c r="F4" s="7">
        <v>44</v>
      </c>
      <c r="G4" s="7">
        <v>43</v>
      </c>
      <c r="H4" s="7">
        <v>41</v>
      </c>
      <c r="I4" s="7">
        <v>41</v>
      </c>
      <c r="J4" s="7">
        <v>39</v>
      </c>
      <c r="K4" s="7">
        <v>47</v>
      </c>
      <c r="L4" s="7">
        <v>57</v>
      </c>
    </row>
    <row r="5" spans="1:12" s="2" customFormat="1" ht="15" thickBot="1" x14ac:dyDescent="0.4">
      <c r="A5" s="22" t="s">
        <v>6</v>
      </c>
      <c r="B5" s="9">
        <v>30</v>
      </c>
      <c r="C5" s="9">
        <v>26</v>
      </c>
      <c r="D5" s="69">
        <v>28</v>
      </c>
      <c r="E5" s="10">
        <v>30</v>
      </c>
      <c r="F5" s="9">
        <v>26</v>
      </c>
      <c r="G5" s="9">
        <v>26</v>
      </c>
      <c r="H5" s="9">
        <v>26</v>
      </c>
      <c r="I5" s="9">
        <v>28</v>
      </c>
      <c r="J5" s="9">
        <v>27</v>
      </c>
      <c r="K5" s="9">
        <v>14</v>
      </c>
      <c r="L5" s="9">
        <v>9</v>
      </c>
    </row>
    <row r="6" spans="1:12" s="2" customFormat="1" ht="15" thickBot="1" x14ac:dyDescent="0.4">
      <c r="A6" s="23" t="s">
        <v>7</v>
      </c>
      <c r="B6" s="12">
        <v>1</v>
      </c>
      <c r="C6" s="12">
        <v>1</v>
      </c>
      <c r="D6" s="70">
        <v>1</v>
      </c>
      <c r="E6" s="13">
        <v>1</v>
      </c>
      <c r="F6" s="12">
        <v>2</v>
      </c>
      <c r="G6" s="12">
        <v>12</v>
      </c>
      <c r="H6" s="12">
        <v>2</v>
      </c>
      <c r="I6" s="12">
        <v>4</v>
      </c>
      <c r="J6" s="12">
        <v>5</v>
      </c>
      <c r="K6" s="12">
        <v>6</v>
      </c>
      <c r="L6" s="12">
        <v>6</v>
      </c>
    </row>
    <row r="7" spans="1:12" s="2" customFormat="1" x14ac:dyDescent="0.35">
      <c r="A7"/>
    </row>
    <row r="8" spans="1:12" ht="15" thickBot="1" x14ac:dyDescent="0.4">
      <c r="B8" s="119"/>
      <c r="C8" s="119"/>
      <c r="D8" s="119"/>
      <c r="E8" s="119"/>
      <c r="F8" s="119"/>
      <c r="G8" s="119"/>
      <c r="H8" s="119"/>
      <c r="I8" s="119"/>
      <c r="J8" s="119"/>
      <c r="K8" s="119"/>
      <c r="L8" s="119"/>
    </row>
    <row r="9" spans="1:12" ht="15.5" thickTop="1" thickBot="1" x14ac:dyDescent="0.4">
      <c r="A9" s="24" t="s">
        <v>2</v>
      </c>
      <c r="B9" s="24">
        <v>2008</v>
      </c>
      <c r="C9" s="24">
        <v>2009</v>
      </c>
      <c r="D9" s="24">
        <v>2010</v>
      </c>
      <c r="E9" s="24">
        <v>2011</v>
      </c>
      <c r="F9" s="24">
        <v>2012</v>
      </c>
      <c r="G9" s="24">
        <v>2013</v>
      </c>
      <c r="H9" s="24">
        <v>2014</v>
      </c>
      <c r="I9" s="24">
        <v>2015</v>
      </c>
      <c r="J9" s="24">
        <v>2016</v>
      </c>
      <c r="K9" s="24">
        <v>2017</v>
      </c>
      <c r="L9" s="24">
        <v>2018</v>
      </c>
    </row>
    <row r="10" spans="1:12" ht="15.5" thickTop="1" thickBot="1" x14ac:dyDescent="0.4">
      <c r="A10" s="19" t="s">
        <v>34</v>
      </c>
      <c r="B10" s="19">
        <v>7</v>
      </c>
      <c r="C10" s="19">
        <v>7</v>
      </c>
      <c r="D10" s="15">
        <v>7</v>
      </c>
      <c r="E10" s="19">
        <v>7</v>
      </c>
      <c r="F10" s="19">
        <v>7</v>
      </c>
      <c r="G10" s="19">
        <v>5</v>
      </c>
      <c r="H10" s="19">
        <v>5</v>
      </c>
      <c r="I10" s="19">
        <v>6</v>
      </c>
      <c r="J10" s="19">
        <v>6</v>
      </c>
      <c r="K10" s="19">
        <v>5</v>
      </c>
      <c r="L10" s="19">
        <v>5</v>
      </c>
    </row>
    <row r="11" spans="1:12" ht="15" thickBot="1" x14ac:dyDescent="0.4">
      <c r="A11" s="20" t="s">
        <v>35</v>
      </c>
      <c r="B11" s="20">
        <v>26</v>
      </c>
      <c r="C11" s="20">
        <v>33</v>
      </c>
      <c r="D11" s="15">
        <v>27</v>
      </c>
      <c r="E11" s="20">
        <v>27</v>
      </c>
      <c r="F11" s="20">
        <v>28</v>
      </c>
      <c r="G11" s="20">
        <v>29</v>
      </c>
      <c r="H11" s="20">
        <v>28</v>
      </c>
      <c r="I11" s="20">
        <v>28</v>
      </c>
      <c r="J11" s="20">
        <v>24</v>
      </c>
      <c r="K11" s="20">
        <v>24</v>
      </c>
      <c r="L11" s="20">
        <v>22</v>
      </c>
    </row>
    <row r="12" spans="1:12" ht="15" thickBot="1" x14ac:dyDescent="0.4">
      <c r="A12" s="21" t="s">
        <v>36</v>
      </c>
      <c r="B12" s="21">
        <v>6</v>
      </c>
      <c r="C12" s="21">
        <v>7</v>
      </c>
      <c r="D12" s="16">
        <v>6</v>
      </c>
      <c r="E12" s="21">
        <v>7</v>
      </c>
      <c r="F12" s="21">
        <v>7</v>
      </c>
      <c r="G12" s="21">
        <v>9</v>
      </c>
      <c r="H12" s="21">
        <v>8</v>
      </c>
      <c r="I12" s="21">
        <v>7</v>
      </c>
      <c r="J12" s="21">
        <v>9</v>
      </c>
      <c r="K12" s="21">
        <v>9</v>
      </c>
      <c r="L12" s="21">
        <v>9</v>
      </c>
    </row>
    <row r="13" spans="1:12" ht="15" thickBot="1" x14ac:dyDescent="0.4">
      <c r="A13" s="21" t="s">
        <v>45</v>
      </c>
      <c r="B13" s="21">
        <v>11</v>
      </c>
      <c r="C13" s="21">
        <v>10</v>
      </c>
      <c r="D13" s="16">
        <v>5</v>
      </c>
      <c r="E13" s="21">
        <v>2</v>
      </c>
      <c r="F13" s="21">
        <v>1</v>
      </c>
      <c r="G13" s="21">
        <v>2</v>
      </c>
      <c r="H13" s="21">
        <v>1</v>
      </c>
      <c r="I13" s="21"/>
      <c r="J13" s="21"/>
      <c r="K13" s="21"/>
      <c r="L13" s="21"/>
    </row>
    <row r="14" spans="1:12" ht="15" thickBot="1" x14ac:dyDescent="0.4">
      <c r="A14" s="22" t="s">
        <v>38</v>
      </c>
      <c r="B14" s="22">
        <v>18</v>
      </c>
      <c r="C14" s="22">
        <v>17</v>
      </c>
      <c r="D14" s="22">
        <v>18</v>
      </c>
      <c r="E14" s="22">
        <v>15</v>
      </c>
      <c r="F14" s="22">
        <v>15</v>
      </c>
      <c r="G14" s="22">
        <v>15</v>
      </c>
      <c r="H14" s="22">
        <v>15</v>
      </c>
      <c r="I14" s="22">
        <v>15</v>
      </c>
      <c r="J14" s="22">
        <v>12</v>
      </c>
      <c r="K14" s="22">
        <v>7</v>
      </c>
      <c r="L14" s="22">
        <v>5</v>
      </c>
    </row>
    <row r="15" spans="1:12" ht="15" thickBot="1" x14ac:dyDescent="0.4">
      <c r="A15" s="22" t="s">
        <v>50</v>
      </c>
      <c r="B15" s="22">
        <v>3</v>
      </c>
      <c r="D15" s="22"/>
      <c r="E15" s="22"/>
      <c r="F15" s="22"/>
      <c r="G15" s="22"/>
      <c r="H15" s="22"/>
      <c r="I15" s="22"/>
      <c r="J15" s="22"/>
      <c r="K15" s="22"/>
      <c r="L15" s="22"/>
    </row>
    <row r="16" spans="1:12" ht="15" thickBot="1" x14ac:dyDescent="0.4">
      <c r="A16" s="23" t="s">
        <v>51</v>
      </c>
      <c r="B16" s="23">
        <v>1</v>
      </c>
      <c r="D16" s="23"/>
      <c r="E16" s="23"/>
      <c r="F16" s="23"/>
      <c r="G16" s="23"/>
      <c r="H16" s="23"/>
      <c r="I16" s="23"/>
      <c r="J16" s="23"/>
      <c r="K16" s="23"/>
      <c r="L16" s="23"/>
    </row>
    <row r="17" spans="1:12" x14ac:dyDescent="0.35">
      <c r="A17" t="s">
        <v>47</v>
      </c>
      <c r="B17">
        <v>1</v>
      </c>
      <c r="D17">
        <v>4</v>
      </c>
      <c r="E17">
        <v>2</v>
      </c>
      <c r="F17">
        <v>2</v>
      </c>
    </row>
    <row r="18" spans="1:12" x14ac:dyDescent="0.35">
      <c r="A18" t="s">
        <v>52</v>
      </c>
      <c r="B18">
        <v>1</v>
      </c>
      <c r="E18">
        <v>0</v>
      </c>
    </row>
    <row r="19" spans="1:12" x14ac:dyDescent="0.35">
      <c r="A19" t="s">
        <v>48</v>
      </c>
      <c r="B19">
        <v>1</v>
      </c>
      <c r="C19">
        <v>1</v>
      </c>
      <c r="D19">
        <v>1</v>
      </c>
      <c r="E19">
        <v>2</v>
      </c>
    </row>
    <row r="20" spans="1:12" x14ac:dyDescent="0.35">
      <c r="A20" t="s">
        <v>39</v>
      </c>
      <c r="B20">
        <v>6</v>
      </c>
      <c r="C20">
        <v>7</v>
      </c>
      <c r="D20">
        <v>8</v>
      </c>
      <c r="E20">
        <v>10</v>
      </c>
      <c r="F20">
        <v>6</v>
      </c>
      <c r="G20">
        <v>6</v>
      </c>
      <c r="H20">
        <v>6</v>
      </c>
      <c r="I20">
        <v>5</v>
      </c>
      <c r="K20">
        <v>5</v>
      </c>
      <c r="L20">
        <v>2</v>
      </c>
    </row>
    <row r="21" spans="1:12" x14ac:dyDescent="0.35">
      <c r="A21" t="s">
        <v>44</v>
      </c>
      <c r="B21">
        <v>20</v>
      </c>
      <c r="C21">
        <v>19</v>
      </c>
      <c r="D21">
        <v>20</v>
      </c>
      <c r="E21">
        <v>20</v>
      </c>
      <c r="F21">
        <v>20</v>
      </c>
      <c r="G21">
        <v>20</v>
      </c>
      <c r="H21">
        <v>20</v>
      </c>
      <c r="I21">
        <v>18</v>
      </c>
      <c r="J21">
        <v>15</v>
      </c>
      <c r="K21">
        <v>2</v>
      </c>
    </row>
    <row r="22" spans="1:12" x14ac:dyDescent="0.35">
      <c r="A22" t="s">
        <v>46</v>
      </c>
      <c r="B22">
        <v>1</v>
      </c>
      <c r="C22">
        <v>1</v>
      </c>
      <c r="D22">
        <v>1</v>
      </c>
      <c r="E22">
        <v>1</v>
      </c>
      <c r="G22">
        <v>12</v>
      </c>
      <c r="H22">
        <v>2</v>
      </c>
    </row>
    <row r="23" spans="1:12" x14ac:dyDescent="0.35">
      <c r="A23" t="s">
        <v>43</v>
      </c>
      <c r="F23">
        <v>2</v>
      </c>
      <c r="G23">
        <v>2</v>
      </c>
      <c r="I23">
        <v>4</v>
      </c>
      <c r="J23">
        <v>5</v>
      </c>
      <c r="K23">
        <v>6</v>
      </c>
      <c r="L23">
        <v>6</v>
      </c>
    </row>
    <row r="24" spans="1:12" x14ac:dyDescent="0.35">
      <c r="A24" t="s">
        <v>49</v>
      </c>
      <c r="J24">
        <v>4</v>
      </c>
      <c r="K24">
        <v>8</v>
      </c>
      <c r="L24">
        <v>10</v>
      </c>
    </row>
    <row r="25" spans="1:12" x14ac:dyDescent="0.35">
      <c r="A25" t="s">
        <v>41</v>
      </c>
      <c r="K25">
        <v>8</v>
      </c>
      <c r="L25">
        <v>8</v>
      </c>
    </row>
    <row r="26" spans="1:12" x14ac:dyDescent="0.35">
      <c r="A26" t="s">
        <v>42</v>
      </c>
      <c r="K26">
        <v>1</v>
      </c>
      <c r="L26">
        <v>13</v>
      </c>
    </row>
    <row r="27" spans="1:12" ht="15" thickBot="1" x14ac:dyDescent="0.4">
      <c r="A27" t="s">
        <v>37</v>
      </c>
      <c r="C27" s="23">
        <v>3</v>
      </c>
      <c r="D27">
        <v>8</v>
      </c>
      <c r="E27">
        <v>11</v>
      </c>
      <c r="F27">
        <v>12</v>
      </c>
      <c r="G27">
        <v>15</v>
      </c>
      <c r="H27">
        <v>14</v>
      </c>
      <c r="I27">
        <v>15</v>
      </c>
      <c r="J27">
        <v>13</v>
      </c>
      <c r="K27">
        <v>14</v>
      </c>
      <c r="L27">
        <v>14</v>
      </c>
    </row>
    <row r="28" spans="1:12" x14ac:dyDescent="0.35">
      <c r="A28" t="s">
        <v>40</v>
      </c>
      <c r="I28">
        <v>5</v>
      </c>
      <c r="J28">
        <v>7</v>
      </c>
      <c r="K28">
        <v>7</v>
      </c>
      <c r="L28">
        <v>7</v>
      </c>
    </row>
  </sheetData>
  <mergeCells count="2">
    <mergeCell ref="B8:L8"/>
    <mergeCell ref="B1:L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zoomScale="85" zoomScaleNormal="85" workbookViewId="0">
      <selection activeCell="L6" sqref="B3:L6"/>
    </sheetView>
  </sheetViews>
  <sheetFormatPr baseColWidth="10" defaultRowHeight="14.5" x14ac:dyDescent="0.35"/>
  <cols>
    <col min="1" max="1" width="22.54296875" customWidth="1"/>
  </cols>
  <sheetData>
    <row r="1" spans="1:32" ht="15" thickBot="1" x14ac:dyDescent="0.4">
      <c r="A1" s="2"/>
      <c r="B1" s="119"/>
      <c r="C1" s="119"/>
      <c r="D1" s="119"/>
      <c r="E1" s="119"/>
      <c r="F1" s="119"/>
      <c r="G1" s="119"/>
      <c r="H1" s="119"/>
      <c r="I1" s="119"/>
      <c r="J1" s="119"/>
      <c r="K1" s="119"/>
      <c r="L1" s="119"/>
    </row>
    <row r="2" spans="1:32" ht="15.5" thickTop="1" thickBot="1" x14ac:dyDescent="0.4">
      <c r="A2" s="24" t="s">
        <v>3</v>
      </c>
      <c r="B2" s="24">
        <v>2008</v>
      </c>
      <c r="C2" s="24">
        <v>2009</v>
      </c>
      <c r="D2" s="24">
        <v>2010</v>
      </c>
      <c r="E2" s="24">
        <v>2011</v>
      </c>
      <c r="F2" s="24">
        <v>2012</v>
      </c>
      <c r="G2" s="24">
        <v>2013</v>
      </c>
      <c r="H2" s="24">
        <v>2014</v>
      </c>
      <c r="I2" s="24">
        <v>2015</v>
      </c>
      <c r="J2" s="24">
        <v>2016</v>
      </c>
      <c r="K2" s="24">
        <v>2017</v>
      </c>
      <c r="L2" s="24">
        <v>2018</v>
      </c>
    </row>
    <row r="3" spans="1:32" ht="15.5" thickTop="1" thickBot="1" x14ac:dyDescent="0.4">
      <c r="A3" s="28" t="s">
        <v>4</v>
      </c>
      <c r="B3" s="121">
        <f>V3*100</f>
        <v>3.3890015153097426E-2</v>
      </c>
      <c r="C3" s="121">
        <f t="shared" ref="C3:L6" si="0">W3*100</f>
        <v>3.4725001292702416E-2</v>
      </c>
      <c r="D3" s="121">
        <f t="shared" si="0"/>
        <v>3.2956653134317476E-2</v>
      </c>
      <c r="E3" s="121">
        <f t="shared" si="0"/>
        <v>3.2759858569166064E-2</v>
      </c>
      <c r="F3" s="121">
        <f t="shared" si="0"/>
        <v>3.1664401994634134E-2</v>
      </c>
      <c r="G3" s="121">
        <f t="shared" si="0"/>
        <v>3.364847297446695E-2</v>
      </c>
      <c r="H3" s="121">
        <f t="shared" si="0"/>
        <v>3.3546880420993103E-2</v>
      </c>
      <c r="I3" s="121">
        <f t="shared" si="0"/>
        <v>3.3007132859987028E-2</v>
      </c>
      <c r="J3" s="121">
        <f t="shared" si="0"/>
        <v>3.1734307570952143E-2</v>
      </c>
      <c r="K3" s="121">
        <f t="shared" si="0"/>
        <v>3.0244168805679483E-2</v>
      </c>
      <c r="L3" s="121">
        <f t="shared" si="0"/>
        <v>2.8466904359757465E-2</v>
      </c>
      <c r="V3" s="26">
        <v>3.3890015153097429E-4</v>
      </c>
      <c r="W3" s="25">
        <v>3.4725001292702415E-4</v>
      </c>
      <c r="X3" s="79">
        <v>3.2956653134317475E-4</v>
      </c>
      <c r="Y3" s="25">
        <v>3.2759858569166066E-4</v>
      </c>
      <c r="Z3" s="26">
        <v>3.1664401994634133E-4</v>
      </c>
      <c r="AA3" s="26">
        <v>3.3648472974466949E-4</v>
      </c>
      <c r="AB3" s="26">
        <v>3.3546880420993102E-4</v>
      </c>
      <c r="AC3" s="26">
        <v>3.3007132859987027E-4</v>
      </c>
      <c r="AD3" s="26">
        <v>3.1734307570952143E-4</v>
      </c>
      <c r="AE3" s="26">
        <v>3.0244168805679484E-4</v>
      </c>
      <c r="AF3" s="26">
        <v>2.8466904359757464E-4</v>
      </c>
    </row>
    <row r="4" spans="1:32" ht="15" thickBot="1" x14ac:dyDescent="0.4">
      <c r="A4" s="21" t="s">
        <v>5</v>
      </c>
      <c r="B4" s="121">
        <f t="shared" ref="B4:B6" si="1">V4*100</f>
        <v>3.9933141369262445E-2</v>
      </c>
      <c r="C4" s="121">
        <f t="shared" si="0"/>
        <v>3.9728066850524144E-2</v>
      </c>
      <c r="D4" s="121">
        <f t="shared" si="0"/>
        <v>3.8701531826224239E-2</v>
      </c>
      <c r="E4" s="121">
        <f t="shared" si="0"/>
        <v>4.2428554965709575E-2</v>
      </c>
      <c r="F4" s="121">
        <f t="shared" si="0"/>
        <v>3.8926615890209043E-2</v>
      </c>
      <c r="G4" s="121">
        <f t="shared" si="0"/>
        <v>4.2824028387350652E-2</v>
      </c>
      <c r="H4" s="121">
        <f t="shared" si="0"/>
        <v>4.2240842369061476E-2</v>
      </c>
      <c r="I4" s="121">
        <f t="shared" si="0"/>
        <v>4.0639477653403228E-2</v>
      </c>
      <c r="J4" s="121">
        <f t="shared" si="0"/>
        <v>3.9577949401688094E-2</v>
      </c>
      <c r="K4" s="121">
        <f t="shared" si="0"/>
        <v>3.4078276662212546E-2</v>
      </c>
      <c r="L4" s="121">
        <f t="shared" si="0"/>
        <v>2.6973424198605309E-2</v>
      </c>
      <c r="V4" s="7">
        <v>3.9933141369262448E-4</v>
      </c>
      <c r="W4" s="7">
        <v>3.9728066850524147E-4</v>
      </c>
      <c r="X4" s="71">
        <v>3.870153182622424E-4</v>
      </c>
      <c r="Y4" s="6">
        <v>4.2428554965709577E-4</v>
      </c>
      <c r="Z4" s="7">
        <v>3.8926615890209042E-4</v>
      </c>
      <c r="AA4" s="7">
        <v>4.2824028387350655E-4</v>
      </c>
      <c r="AB4" s="7">
        <v>4.2240842369061475E-4</v>
      </c>
      <c r="AC4" s="7">
        <v>4.0639477653403231E-4</v>
      </c>
      <c r="AD4" s="7">
        <v>3.9577949401688092E-4</v>
      </c>
      <c r="AE4" s="7">
        <v>3.4078276662212546E-4</v>
      </c>
      <c r="AF4" s="7">
        <v>2.6973424198605309E-4</v>
      </c>
    </row>
    <row r="5" spans="1:32" ht="15" thickBot="1" x14ac:dyDescent="0.4">
      <c r="A5" s="22" t="s">
        <v>6</v>
      </c>
      <c r="B5" s="121">
        <f t="shared" si="1"/>
        <v>1.9857834044421242E-2</v>
      </c>
      <c r="C5" s="121">
        <f t="shared" si="0"/>
        <v>2.2925270906580385E-2</v>
      </c>
      <c r="D5" s="121">
        <f t="shared" si="0"/>
        <v>2.3487289703485955E-2</v>
      </c>
      <c r="E5" s="121">
        <f t="shared" si="0"/>
        <v>1.4571498145802194E-2</v>
      </c>
      <c r="F5" s="121">
        <f t="shared" si="0"/>
        <v>2.106814071061984E-2</v>
      </c>
      <c r="G5" s="121">
        <f t="shared" si="0"/>
        <v>2.1744110094174852E-2</v>
      </c>
      <c r="H5" s="121">
        <f t="shared" si="0"/>
        <v>4.4514041018353469E-2</v>
      </c>
      <c r="I5" s="121">
        <f t="shared" si="0"/>
        <v>2.5907095392949241E-2</v>
      </c>
      <c r="J5" s="121">
        <f t="shared" si="0"/>
        <v>2.7062982305539971E-2</v>
      </c>
      <c r="K5" s="121">
        <f t="shared" si="0"/>
        <v>5.0055957715397073E-2</v>
      </c>
      <c r="L5" s="121">
        <f t="shared" si="0"/>
        <v>4.3870967496975236E-2</v>
      </c>
      <c r="V5" s="9">
        <v>1.9857834044421241E-4</v>
      </c>
      <c r="W5" s="9">
        <v>2.2925270906580384E-4</v>
      </c>
      <c r="X5" s="72">
        <v>2.3487289703485954E-4</v>
      </c>
      <c r="Y5" s="10">
        <v>1.4571498145802194E-4</v>
      </c>
      <c r="Z5" s="9">
        <v>2.1068140710619841E-4</v>
      </c>
      <c r="AA5" s="9">
        <v>2.1744110094174852E-4</v>
      </c>
      <c r="AB5" s="9">
        <v>4.4514041018353472E-4</v>
      </c>
      <c r="AC5" s="9">
        <v>2.5907095392949239E-4</v>
      </c>
      <c r="AD5" s="9">
        <v>2.706298230553997E-4</v>
      </c>
      <c r="AE5" s="9">
        <v>5.005595771539707E-4</v>
      </c>
      <c r="AF5" s="9">
        <v>4.3870967496975236E-4</v>
      </c>
    </row>
    <row r="6" spans="1:32" ht="15" thickBot="1" x14ac:dyDescent="0.4">
      <c r="A6" s="23" t="s">
        <v>7</v>
      </c>
      <c r="B6" s="121">
        <f t="shared" si="1"/>
        <v>6.7678876105131708E-2</v>
      </c>
      <c r="C6" s="121">
        <f t="shared" si="0"/>
        <v>6.7847862062947267E-2</v>
      </c>
      <c r="D6" s="121">
        <f t="shared" si="0"/>
        <v>6.587410607566152E-2</v>
      </c>
      <c r="E6" s="121">
        <f t="shared" si="0"/>
        <v>6.6275777454171653E-2</v>
      </c>
      <c r="F6" s="121">
        <f t="shared" si="0"/>
        <v>2.6056373139365121E-2</v>
      </c>
      <c r="G6" s="121">
        <f t="shared" si="0"/>
        <v>7.0305481904813408E-2</v>
      </c>
      <c r="H6" s="121">
        <f t="shared" si="0"/>
        <v>7.0033682361366936E-2</v>
      </c>
      <c r="I6" s="121">
        <f t="shared" si="0"/>
        <v>1.6370675995172806E-2</v>
      </c>
      <c r="J6" s="121">
        <f t="shared" si="0"/>
        <v>1.592557120349309E-2</v>
      </c>
      <c r="K6" s="121">
        <f t="shared" si="0"/>
        <v>1.5456780348208346E-2</v>
      </c>
      <c r="L6" s="121">
        <f t="shared" si="0"/>
        <v>1.4290358324480288E-2</v>
      </c>
      <c r="V6" s="12">
        <v>6.7678876105131702E-4</v>
      </c>
      <c r="W6" s="12">
        <v>6.7847862062947266E-4</v>
      </c>
      <c r="X6" s="80">
        <v>6.5874106075661525E-4</v>
      </c>
      <c r="Y6" s="13">
        <v>6.627577745417165E-4</v>
      </c>
      <c r="Z6" s="12">
        <v>2.6056373139365122E-4</v>
      </c>
      <c r="AA6" s="12">
        <v>7.0305481904813405E-4</v>
      </c>
      <c r="AB6" s="12">
        <v>7.0033682361366931E-4</v>
      </c>
      <c r="AC6" s="12">
        <v>1.6370675995172807E-4</v>
      </c>
      <c r="AD6" s="12">
        <v>1.592557120349309E-4</v>
      </c>
      <c r="AE6" s="12">
        <v>1.5456780348208345E-4</v>
      </c>
      <c r="AF6" s="12">
        <v>1.4290358324480287E-4</v>
      </c>
    </row>
    <row r="7" spans="1:32" x14ac:dyDescent="0.35">
      <c r="A7" s="2"/>
      <c r="B7" s="2"/>
      <c r="C7" s="2"/>
      <c r="D7" s="2"/>
      <c r="E7" s="2"/>
      <c r="F7" s="2"/>
      <c r="G7" s="2"/>
      <c r="H7" s="2"/>
      <c r="I7" s="2"/>
      <c r="J7" s="2"/>
      <c r="K7" s="2"/>
      <c r="L7" s="2"/>
      <c r="M7" s="53"/>
      <c r="N7" s="53"/>
      <c r="O7" s="53"/>
      <c r="P7" s="53"/>
    </row>
    <row r="8" spans="1:32" ht="15" thickBot="1" x14ac:dyDescent="0.4">
      <c r="A8" s="2"/>
      <c r="B8" s="119"/>
      <c r="C8" s="119"/>
      <c r="D8" s="119"/>
      <c r="E8" s="119"/>
      <c r="F8" s="119"/>
      <c r="G8" s="119"/>
      <c r="H8" s="119"/>
      <c r="I8" s="119"/>
      <c r="J8" s="119"/>
      <c r="K8" s="119"/>
      <c r="L8" s="119"/>
      <c r="M8" s="53"/>
      <c r="N8" s="74"/>
      <c r="O8" s="74"/>
      <c r="P8" s="74"/>
    </row>
    <row r="9" spans="1:32" ht="15.5" thickTop="1" thickBot="1" x14ac:dyDescent="0.4">
      <c r="A9" s="24" t="s">
        <v>2</v>
      </c>
      <c r="B9" s="24">
        <v>2008</v>
      </c>
      <c r="C9" s="24">
        <v>2009</v>
      </c>
      <c r="D9" s="24">
        <v>2010</v>
      </c>
      <c r="E9" s="24">
        <v>2011</v>
      </c>
      <c r="F9" s="24">
        <v>2012</v>
      </c>
      <c r="G9" s="24">
        <v>2013</v>
      </c>
      <c r="H9" s="24">
        <v>2014</v>
      </c>
      <c r="I9" s="24">
        <v>2015</v>
      </c>
      <c r="J9" s="24">
        <v>2016</v>
      </c>
      <c r="K9" s="24">
        <v>2017</v>
      </c>
      <c r="L9" s="24">
        <v>2018</v>
      </c>
      <c r="M9" s="53"/>
      <c r="N9" s="75"/>
      <c r="O9" s="75"/>
      <c r="P9" s="74"/>
    </row>
    <row r="10" spans="1:32" ht="15.5" thickTop="1" thickBot="1" x14ac:dyDescent="0.4">
      <c r="A10" s="19" t="s">
        <v>34</v>
      </c>
      <c r="B10" s="4">
        <f ca="1">LOOKUP('2008'!A4,'2008'!A4:J17,'2008'!G4)</f>
        <v>3.1458788960421619E-2</v>
      </c>
      <c r="C10" s="120">
        <f>V10*100</f>
        <v>3.2985638005142433E-2</v>
      </c>
      <c r="D10" s="120">
        <f t="shared" ref="D10:L25" si="2">W10*100</f>
        <v>3.0942417961247005E-2</v>
      </c>
      <c r="E10" s="120">
        <f t="shared" si="2"/>
        <v>3.0908295772285335E-2</v>
      </c>
      <c r="F10" s="120">
        <f t="shared" si="2"/>
        <v>3.2861586920097184E-2</v>
      </c>
      <c r="G10" s="120">
        <f t="shared" si="2"/>
        <v>3.3628383382672364E-2</v>
      </c>
      <c r="H10" s="120">
        <f t="shared" si="2"/>
        <v>3.0216867581801182E-2</v>
      </c>
      <c r="I10" s="120">
        <f t="shared" si="2"/>
        <v>3.0143405010864717E-2</v>
      </c>
      <c r="J10" s="120">
        <f t="shared" si="2"/>
        <v>2.9123162660989056E-2</v>
      </c>
      <c r="K10" s="120">
        <f t="shared" si="2"/>
        <v>3.2789091537433035E-2</v>
      </c>
      <c r="L10" s="120">
        <f t="shared" si="2"/>
        <v>3.0174447809999085E-2</v>
      </c>
      <c r="M10" s="53"/>
      <c r="N10" s="76"/>
      <c r="O10" s="77"/>
      <c r="P10" s="74"/>
      <c r="U10">
        <v>3.1458788960421619E-2</v>
      </c>
      <c r="V10">
        <v>3.2985638005142431E-4</v>
      </c>
      <c r="W10">
        <v>3.0942417961247006E-4</v>
      </c>
      <c r="X10">
        <v>3.0908295772285335E-4</v>
      </c>
      <c r="Y10">
        <v>3.2861586920097182E-4</v>
      </c>
      <c r="Z10">
        <v>3.3628383382672364E-4</v>
      </c>
      <c r="AA10">
        <v>3.0216867581801181E-4</v>
      </c>
      <c r="AB10">
        <v>3.0143405010864716E-4</v>
      </c>
      <c r="AC10">
        <v>2.9123162660989058E-4</v>
      </c>
      <c r="AD10">
        <v>3.2789091537433032E-4</v>
      </c>
      <c r="AE10">
        <v>3.0174447809999086E-4</v>
      </c>
    </row>
    <row r="11" spans="1:32" ht="15" thickBot="1" x14ac:dyDescent="0.4">
      <c r="A11" s="20" t="s">
        <v>35</v>
      </c>
      <c r="B11" s="4">
        <f ca="1">LOOKUP('2008'!A5,'2008'!A5:J18,'2008'!G5)</f>
        <v>3.9873444973136649E-2</v>
      </c>
      <c r="C11" s="120">
        <f t="shared" ref="C11:L28" si="3">V11*100</f>
        <v>3.9558118591158785E-2</v>
      </c>
      <c r="D11" s="120">
        <f t="shared" si="2"/>
        <v>3.9462752925206568E-2</v>
      </c>
      <c r="E11" s="120">
        <f t="shared" si="2"/>
        <v>4.0413176854585967E-2</v>
      </c>
      <c r="F11" s="120">
        <f t="shared" si="2"/>
        <v>3.8621922787089508E-2</v>
      </c>
      <c r="G11" s="120">
        <f t="shared" si="2"/>
        <v>4.2560230095463794E-2</v>
      </c>
      <c r="H11" s="120">
        <f t="shared" si="2"/>
        <v>4.2601980825460281E-2</v>
      </c>
      <c r="I11" s="120">
        <f t="shared" si="2"/>
        <v>4.0971303824157368E-2</v>
      </c>
      <c r="J11" s="120">
        <f t="shared" si="2"/>
        <v>3.9829807613822571E-2</v>
      </c>
      <c r="K11" s="120">
        <f t="shared" si="2"/>
        <v>3.9334313513149831E-2</v>
      </c>
      <c r="L11" s="120">
        <f t="shared" si="2"/>
        <v>3.9835837694113689E-2</v>
      </c>
      <c r="M11" s="53"/>
      <c r="N11" s="76"/>
      <c r="O11" s="77"/>
      <c r="P11" s="74"/>
      <c r="U11">
        <v>3.9873444973136649E-2</v>
      </c>
      <c r="V11">
        <v>3.9558118591158782E-4</v>
      </c>
      <c r="W11">
        <v>3.9462752925206566E-4</v>
      </c>
      <c r="X11">
        <v>4.0413176854585967E-4</v>
      </c>
      <c r="Y11">
        <v>3.8621922787089504E-4</v>
      </c>
      <c r="Z11">
        <v>4.2560230095463797E-4</v>
      </c>
      <c r="AA11">
        <v>4.2601980825460282E-4</v>
      </c>
      <c r="AB11">
        <v>4.0971303824157367E-4</v>
      </c>
      <c r="AC11">
        <v>3.9829807613822572E-4</v>
      </c>
      <c r="AD11">
        <v>3.9334313513149832E-4</v>
      </c>
      <c r="AE11">
        <v>3.9835837694113691E-4</v>
      </c>
    </row>
    <row r="12" spans="1:32" ht="15" thickBot="1" x14ac:dyDescent="0.4">
      <c r="A12" s="21" t="s">
        <v>36</v>
      </c>
      <c r="B12" s="4">
        <f ca="1">LOOKUP('2008'!A6,'2008'!A6:J19,'2008'!G6)</f>
        <v>4.708903213033467E-2</v>
      </c>
      <c r="C12" s="120">
        <f t="shared" si="3"/>
        <v>4.6279976628585962E-2</v>
      </c>
      <c r="D12" s="120">
        <f t="shared" si="2"/>
        <v>4.5273990658479438E-2</v>
      </c>
      <c r="E12" s="120">
        <f t="shared" si="2"/>
        <v>4.61374821299416E-2</v>
      </c>
      <c r="F12" s="120">
        <f t="shared" si="2"/>
        <v>4.5458239114395921E-2</v>
      </c>
      <c r="G12" s="120">
        <f t="shared" si="2"/>
        <v>4.8782736774918442E-2</v>
      </c>
      <c r="H12" s="120">
        <f t="shared" si="2"/>
        <v>4.8491842013703317E-2</v>
      </c>
      <c r="I12" s="120">
        <f t="shared" si="2"/>
        <v>4.8308806663991136E-2</v>
      </c>
      <c r="J12" s="120">
        <f t="shared" si="2"/>
        <v>4.5876185329795489E-2</v>
      </c>
      <c r="K12" s="120">
        <f t="shared" si="2"/>
        <v>4.7759661261015857E-2</v>
      </c>
      <c r="L12" s="120">
        <f t="shared" si="2"/>
        <v>4.3472483709278746E-2</v>
      </c>
      <c r="M12" s="53"/>
      <c r="N12" s="78"/>
      <c r="O12" s="77"/>
      <c r="P12" s="74"/>
      <c r="U12">
        <v>4.708903213033467E-2</v>
      </c>
      <c r="V12">
        <v>4.6279976628585959E-4</v>
      </c>
      <c r="W12">
        <v>4.5273990658479439E-4</v>
      </c>
      <c r="X12">
        <v>4.6137482129941603E-4</v>
      </c>
      <c r="Y12">
        <v>4.5458239114395921E-4</v>
      </c>
      <c r="Z12">
        <v>4.8782736774918443E-4</v>
      </c>
      <c r="AA12">
        <v>4.8491842013703316E-4</v>
      </c>
      <c r="AB12">
        <v>4.8308806663991137E-4</v>
      </c>
      <c r="AC12">
        <v>4.5876185329795489E-4</v>
      </c>
      <c r="AD12">
        <v>4.7759661261015856E-4</v>
      </c>
      <c r="AE12">
        <v>4.3472483709278744E-4</v>
      </c>
    </row>
    <row r="13" spans="1:32" ht="15" thickBot="1" x14ac:dyDescent="0.4">
      <c r="A13" s="21" t="s">
        <v>45</v>
      </c>
      <c r="B13" s="4">
        <f ca="1">LOOKUP('2008'!A7,'2008'!A7:J20,'2008'!G7)</f>
        <v>2.9614797616650278E-2</v>
      </c>
      <c r="C13" s="120">
        <f t="shared" si="3"/>
        <v>3.3871784594815837E-2</v>
      </c>
      <c r="D13" s="120">
        <f t="shared" si="2"/>
        <v>3.3082042250792233E-2</v>
      </c>
      <c r="E13" s="120">
        <f t="shared" si="2"/>
        <v>3.4720404648393613E-2</v>
      </c>
      <c r="F13" s="120">
        <f t="shared" si="2"/>
        <v>3.1543885861797738E-2</v>
      </c>
      <c r="G13" s="120">
        <f t="shared" si="2"/>
        <v>3.5632156713488503E-2</v>
      </c>
      <c r="H13" s="120">
        <f t="shared" si="2"/>
        <v>3.3738950084139331E-2</v>
      </c>
      <c r="I13" s="120">
        <f t="shared" si="2"/>
        <v>0</v>
      </c>
      <c r="J13" s="120">
        <f t="shared" si="2"/>
        <v>0</v>
      </c>
      <c r="K13" s="120">
        <f t="shared" si="2"/>
        <v>0</v>
      </c>
      <c r="L13" s="120">
        <f t="shared" si="2"/>
        <v>0</v>
      </c>
      <c r="M13" s="53"/>
      <c r="N13" s="78"/>
      <c r="O13" s="77"/>
      <c r="P13" s="74"/>
      <c r="U13">
        <v>2.9614797616650278E-2</v>
      </c>
      <c r="V13">
        <v>3.3871784594815836E-4</v>
      </c>
      <c r="W13">
        <v>3.3082042250792232E-4</v>
      </c>
      <c r="X13">
        <v>3.472040464839361E-4</v>
      </c>
      <c r="Y13">
        <v>3.1543885861797736E-4</v>
      </c>
      <c r="Z13">
        <v>3.5632156713488505E-4</v>
      </c>
      <c r="AA13">
        <v>3.3738950084139332E-4</v>
      </c>
    </row>
    <row r="14" spans="1:32" ht="15" thickBot="1" x14ac:dyDescent="0.4">
      <c r="A14" s="22" t="s">
        <v>38</v>
      </c>
      <c r="B14" s="4">
        <f ca="1">LOOKUP('2008'!A8,'2008'!A8:J21,'2008'!G8)</f>
        <v>3.6502648092037356E-2</v>
      </c>
      <c r="C14" s="120">
        <f t="shared" si="3"/>
        <v>3.6387028078016387E-2</v>
      </c>
      <c r="D14" s="120">
        <f t="shared" si="2"/>
        <v>3.5409951983825537E-2</v>
      </c>
      <c r="E14" s="120">
        <f t="shared" si="2"/>
        <v>3.5626389692718669E-2</v>
      </c>
      <c r="F14" s="120">
        <f t="shared" si="2"/>
        <v>3.5219580974456856E-2</v>
      </c>
      <c r="G14" s="120">
        <f t="shared" si="2"/>
        <v>3.7819266931038494E-2</v>
      </c>
      <c r="H14" s="120">
        <f t="shared" si="2"/>
        <v>3.7662097619048547E-2</v>
      </c>
      <c r="I14" s="120">
        <f t="shared" si="2"/>
        <v>3.7224763454501021E-2</v>
      </c>
      <c r="J14" s="120">
        <f t="shared" si="2"/>
        <v>3.5852150701878104E-2</v>
      </c>
      <c r="K14" s="120">
        <f t="shared" si="2"/>
        <v>3.5446759893113092E-2</v>
      </c>
      <c r="L14" s="120">
        <f t="shared" si="2"/>
        <v>2.6206277302228586E-2</v>
      </c>
      <c r="M14" s="53"/>
      <c r="N14" s="78"/>
      <c r="O14" s="77"/>
      <c r="P14" s="74"/>
      <c r="U14">
        <v>3.6502648092037356E-2</v>
      </c>
      <c r="V14">
        <v>3.6387028078016385E-4</v>
      </c>
      <c r="W14">
        <v>3.5409951983825537E-4</v>
      </c>
      <c r="X14">
        <v>3.5626389692718671E-4</v>
      </c>
      <c r="Y14">
        <v>3.5219580974456857E-4</v>
      </c>
      <c r="Z14">
        <v>3.7819266931038491E-4</v>
      </c>
      <c r="AA14">
        <v>3.7662097619048547E-4</v>
      </c>
      <c r="AB14">
        <v>3.7224763454501021E-4</v>
      </c>
      <c r="AC14">
        <v>3.5852150701878106E-4</v>
      </c>
      <c r="AD14">
        <v>3.5446759893113095E-4</v>
      </c>
      <c r="AE14">
        <v>2.6206277302228586E-4</v>
      </c>
    </row>
    <row r="15" spans="1:32" ht="15" thickBot="1" x14ac:dyDescent="0.4">
      <c r="A15" s="22" t="s">
        <v>50</v>
      </c>
      <c r="B15" s="4">
        <f ca="1">LOOKUP('2008'!A9,'2008'!A9:J22,'2008'!G9)</f>
        <v>1.1492246164497195E-2</v>
      </c>
      <c r="C15" s="120">
        <f t="shared" si="3"/>
        <v>0</v>
      </c>
      <c r="D15" s="120">
        <f t="shared" si="2"/>
        <v>0</v>
      </c>
      <c r="E15" s="120">
        <f t="shared" si="2"/>
        <v>0</v>
      </c>
      <c r="F15" s="120">
        <f t="shared" si="2"/>
        <v>0</v>
      </c>
      <c r="G15" s="120">
        <f t="shared" si="2"/>
        <v>0</v>
      </c>
      <c r="H15" s="120">
        <f t="shared" si="2"/>
        <v>0</v>
      </c>
      <c r="I15" s="120">
        <f t="shared" si="2"/>
        <v>0</v>
      </c>
      <c r="J15" s="120">
        <f t="shared" si="2"/>
        <v>0</v>
      </c>
      <c r="K15" s="120">
        <f t="shared" si="2"/>
        <v>0</v>
      </c>
      <c r="L15" s="120">
        <f t="shared" si="2"/>
        <v>0</v>
      </c>
      <c r="M15" s="53"/>
      <c r="N15" s="78"/>
      <c r="O15" s="77"/>
      <c r="P15" s="74"/>
      <c r="U15">
        <v>1.1492246164497195E-2</v>
      </c>
    </row>
    <row r="16" spans="1:32" ht="15" thickBot="1" x14ac:dyDescent="0.4">
      <c r="A16" s="23" t="s">
        <v>51</v>
      </c>
      <c r="B16" s="4">
        <f ca="1">LOOKUP('2008'!A10,'2008'!A10:J23,'2008'!G10)</f>
        <v>1.6276012818562086E-2</v>
      </c>
      <c r="C16" s="120">
        <f t="shared" si="3"/>
        <v>0</v>
      </c>
      <c r="D16" s="120">
        <f t="shared" si="2"/>
        <v>0</v>
      </c>
      <c r="E16" s="120">
        <f t="shared" si="2"/>
        <v>0</v>
      </c>
      <c r="F16" s="120">
        <f t="shared" si="2"/>
        <v>0</v>
      </c>
      <c r="G16" s="120">
        <f t="shared" si="2"/>
        <v>0</v>
      </c>
      <c r="H16" s="120">
        <f t="shared" si="2"/>
        <v>0</v>
      </c>
      <c r="I16" s="120">
        <f t="shared" si="2"/>
        <v>0</v>
      </c>
      <c r="J16" s="120">
        <f t="shared" si="2"/>
        <v>0</v>
      </c>
      <c r="K16" s="120">
        <f t="shared" si="2"/>
        <v>0</v>
      </c>
      <c r="L16" s="120">
        <f t="shared" si="2"/>
        <v>0</v>
      </c>
      <c r="M16" s="53"/>
      <c r="N16" s="78"/>
      <c r="O16" s="77"/>
      <c r="P16" s="74"/>
      <c r="U16">
        <v>1.6276012818562086E-2</v>
      </c>
    </row>
    <row r="17" spans="1:31" x14ac:dyDescent="0.35">
      <c r="A17" t="s">
        <v>47</v>
      </c>
      <c r="B17" s="4">
        <f ca="1">LOOKUP('2008'!A11,'2008'!A11:J24,'2008'!G11)</f>
        <v>4.1819153641683898E-2</v>
      </c>
      <c r="C17" s="120">
        <f t="shared" si="3"/>
        <v>4.7516276963340993E-2</v>
      </c>
      <c r="D17" s="120">
        <f t="shared" si="2"/>
        <v>4.1301586290147151E-2</v>
      </c>
      <c r="E17" s="120">
        <f t="shared" si="2"/>
        <v>4.0148995254505271E-2</v>
      </c>
      <c r="F17" s="120">
        <f t="shared" si="2"/>
        <v>4.1559239444619887E-2</v>
      </c>
      <c r="G17" s="120">
        <f t="shared" si="2"/>
        <v>0</v>
      </c>
      <c r="H17" s="120">
        <f t="shared" si="2"/>
        <v>0</v>
      </c>
      <c r="I17" s="120">
        <f t="shared" si="2"/>
        <v>0</v>
      </c>
      <c r="J17" s="120">
        <f t="shared" si="2"/>
        <v>0</v>
      </c>
      <c r="K17" s="120">
        <f t="shared" si="2"/>
        <v>0</v>
      </c>
      <c r="L17" s="120">
        <f t="shared" si="2"/>
        <v>0</v>
      </c>
      <c r="M17" s="53"/>
      <c r="N17" s="73"/>
      <c r="O17" s="77"/>
      <c r="P17" s="74"/>
      <c r="U17">
        <v>4.1819153641683898E-2</v>
      </c>
      <c r="V17">
        <v>4.751627696334099E-4</v>
      </c>
      <c r="W17">
        <v>4.130158629014715E-4</v>
      </c>
      <c r="X17">
        <v>4.014899525450527E-4</v>
      </c>
      <c r="Y17">
        <v>4.1559239444619885E-4</v>
      </c>
    </row>
    <row r="18" spans="1:31" x14ac:dyDescent="0.35">
      <c r="A18" t="s">
        <v>52</v>
      </c>
      <c r="B18" s="4">
        <f ca="1">LOOKUP('2008'!A12,'2008'!A12:J25,'2008'!G12)</f>
        <v>7.2670182253307014E-2</v>
      </c>
      <c r="C18" s="120">
        <f t="shared" si="3"/>
        <v>0</v>
      </c>
      <c r="D18" s="120">
        <f t="shared" si="2"/>
        <v>0</v>
      </c>
      <c r="E18" s="120">
        <f t="shared" si="2"/>
        <v>0</v>
      </c>
      <c r="F18" s="120">
        <f t="shared" si="2"/>
        <v>0</v>
      </c>
      <c r="G18" s="120">
        <f t="shared" si="2"/>
        <v>0</v>
      </c>
      <c r="H18" s="120">
        <f t="shared" si="2"/>
        <v>0</v>
      </c>
      <c r="I18" s="120">
        <f t="shared" si="2"/>
        <v>0</v>
      </c>
      <c r="J18" s="120">
        <f t="shared" si="2"/>
        <v>0</v>
      </c>
      <c r="K18" s="120">
        <f t="shared" si="2"/>
        <v>0</v>
      </c>
      <c r="L18" s="120">
        <f t="shared" si="2"/>
        <v>0</v>
      </c>
      <c r="M18" s="53"/>
      <c r="N18" s="73"/>
      <c r="O18" s="77"/>
      <c r="P18" s="74"/>
      <c r="U18">
        <v>7.2670182253307014E-2</v>
      </c>
    </row>
    <row r="19" spans="1:31" x14ac:dyDescent="0.35">
      <c r="A19" t="s">
        <v>48</v>
      </c>
      <c r="B19" s="4">
        <f ca="1">LOOKUP('2008'!A13,'2008'!A13:J26,'2008'!G13)</f>
        <v>2.3247316807519569E-2</v>
      </c>
      <c r="C19" s="120">
        <f t="shared" si="3"/>
        <v>2.3305362542369805E-2</v>
      </c>
      <c r="D19" s="120">
        <f t="shared" si="2"/>
        <v>2.2627388359319048E-2</v>
      </c>
      <c r="E19" s="120">
        <f t="shared" si="2"/>
        <v>2.2765360239558795E-2</v>
      </c>
      <c r="F19" s="120">
        <f t="shared" si="2"/>
        <v>0</v>
      </c>
      <c r="G19" s="120">
        <f t="shared" si="2"/>
        <v>0</v>
      </c>
      <c r="H19" s="120">
        <f t="shared" si="2"/>
        <v>0</v>
      </c>
      <c r="I19" s="120">
        <f t="shared" si="2"/>
        <v>0</v>
      </c>
      <c r="J19" s="120">
        <f t="shared" si="2"/>
        <v>0</v>
      </c>
      <c r="K19" s="120">
        <f t="shared" si="2"/>
        <v>0</v>
      </c>
      <c r="L19" s="120">
        <f t="shared" si="2"/>
        <v>0</v>
      </c>
      <c r="M19" s="53"/>
      <c r="N19" s="73"/>
      <c r="O19" s="77"/>
      <c r="P19" s="74"/>
      <c r="U19">
        <v>2.3247316807519569E-2</v>
      </c>
      <c r="V19">
        <v>2.3305362542369804E-4</v>
      </c>
      <c r="W19">
        <v>2.2627388359319048E-4</v>
      </c>
      <c r="X19">
        <v>2.2765360239558794E-4</v>
      </c>
    </row>
    <row r="20" spans="1:31" x14ac:dyDescent="0.35">
      <c r="A20" t="s">
        <v>39</v>
      </c>
      <c r="B20" s="4">
        <f ca="1">LOOKUP('2008'!A14,'2008'!A14:J27,'2008'!G14)</f>
        <v>4.9041729910127028E-2</v>
      </c>
      <c r="C20" s="120">
        <f t="shared" si="3"/>
        <v>4.928640333575101E-2</v>
      </c>
      <c r="D20" s="120">
        <f t="shared" si="2"/>
        <v>5.0129533101828987E-2</v>
      </c>
      <c r="E20" s="120">
        <f t="shared" si="2"/>
        <v>5.0748095859474235E-2</v>
      </c>
      <c r="F20" s="120">
        <f t="shared" si="2"/>
        <v>4.771819389502413E-2</v>
      </c>
      <c r="G20" s="120">
        <f t="shared" si="2"/>
        <v>5.1846783227030138E-2</v>
      </c>
      <c r="H20" s="120">
        <f t="shared" si="2"/>
        <v>5.1192828780586661E-2</v>
      </c>
      <c r="I20" s="120">
        <f t="shared" si="2"/>
        <v>5.0480336835691815E-2</v>
      </c>
      <c r="J20" s="120">
        <f t="shared" si="2"/>
        <v>4.926260385546908E-2</v>
      </c>
      <c r="K20" s="120">
        <f t="shared" si="2"/>
        <v>5.1367595657045219E-2</v>
      </c>
      <c r="L20" s="120">
        <f t="shared" si="2"/>
        <v>4.4680134409633358E-2</v>
      </c>
      <c r="M20" s="53"/>
      <c r="N20" s="73"/>
      <c r="O20" s="77"/>
      <c r="P20" s="74"/>
      <c r="U20">
        <v>4.9041729910127028E-2</v>
      </c>
      <c r="V20">
        <v>4.9286403335751009E-4</v>
      </c>
      <c r="W20">
        <v>5.0129533101828984E-4</v>
      </c>
      <c r="X20">
        <v>5.0748095859474236E-4</v>
      </c>
      <c r="Y20">
        <v>4.7718193895024131E-4</v>
      </c>
      <c r="Z20">
        <v>5.1846783227030139E-4</v>
      </c>
      <c r="AA20">
        <v>5.1192828780586663E-4</v>
      </c>
      <c r="AB20">
        <v>5.0480336835691817E-4</v>
      </c>
      <c r="AC20">
        <v>4.9262603855469082E-4</v>
      </c>
      <c r="AD20">
        <v>5.1367595657045219E-4</v>
      </c>
      <c r="AE20">
        <v>4.468013440963336E-4</v>
      </c>
    </row>
    <row r="21" spans="1:31" x14ac:dyDescent="0.35">
      <c r="A21" t="s">
        <v>44</v>
      </c>
      <c r="B21" s="4">
        <f ca="1">LOOKUP('2008'!A15,'2008'!A15:J28,'2008'!G15)</f>
        <v>1.2536594527991069E-2</v>
      </c>
      <c r="C21" s="120">
        <f t="shared" si="3"/>
        <v>1.3213274748464895E-2</v>
      </c>
      <c r="D21" s="120">
        <f t="shared" si="2"/>
        <v>1.2830392344148744E-2</v>
      </c>
      <c r="E21" s="120">
        <f t="shared" si="2"/>
        <v>1.1986284180383723E-2</v>
      </c>
      <c r="F21" s="120">
        <f t="shared" si="2"/>
        <v>1.3073124755298555E-2</v>
      </c>
      <c r="G21" s="120">
        <f t="shared" si="2"/>
        <v>1.2713308154318266E-2</v>
      </c>
      <c r="H21" s="120">
        <f t="shared" si="2"/>
        <v>1.3516095879372993E-2</v>
      </c>
      <c r="I21" s="120">
        <f t="shared" si="2"/>
        <v>1.3548846472251141E-2</v>
      </c>
      <c r="J21" s="120">
        <f t="shared" si="2"/>
        <v>1.2004232719504317E-2</v>
      </c>
      <c r="K21" s="120">
        <f t="shared" si="2"/>
        <v>1.0867025881766438E-2</v>
      </c>
      <c r="L21" s="120">
        <f t="shared" si="2"/>
        <v>0</v>
      </c>
      <c r="M21" s="53"/>
      <c r="N21" s="73"/>
      <c r="O21" s="77"/>
      <c r="P21" s="74"/>
      <c r="U21">
        <v>1.2536594527991069E-2</v>
      </c>
      <c r="V21">
        <v>1.3213274748464894E-4</v>
      </c>
      <c r="W21">
        <v>1.2830392344148744E-4</v>
      </c>
      <c r="X21">
        <v>1.1986284180383723E-4</v>
      </c>
      <c r="Y21">
        <v>1.3073124755298555E-4</v>
      </c>
      <c r="Z21">
        <v>1.2713308154318266E-4</v>
      </c>
      <c r="AA21">
        <v>1.3516095879372993E-4</v>
      </c>
      <c r="AB21">
        <v>1.3548846472251141E-4</v>
      </c>
      <c r="AC21">
        <v>1.2004232719504318E-4</v>
      </c>
      <c r="AD21">
        <v>1.0867025881766438E-4</v>
      </c>
    </row>
    <row r="22" spans="1:31" x14ac:dyDescent="0.35">
      <c r="A22" t="s">
        <v>46</v>
      </c>
      <c r="B22">
        <v>6.7678876105131702E-4</v>
      </c>
      <c r="C22" s="120">
        <f t="shared" si="3"/>
        <v>6.7847862062947267E-2</v>
      </c>
      <c r="D22" s="120">
        <f t="shared" si="2"/>
        <v>6.587410607566152E-2</v>
      </c>
      <c r="E22" s="120">
        <f t="shared" si="2"/>
        <v>6.6275777454171653E-2</v>
      </c>
      <c r="F22" s="120">
        <f t="shared" si="2"/>
        <v>6.6275777454171653E-2</v>
      </c>
      <c r="G22" s="120">
        <f t="shared" si="2"/>
        <v>7.0305481904813408E-2</v>
      </c>
      <c r="H22" s="120">
        <f t="shared" si="2"/>
        <v>7.0033682361366936E-2</v>
      </c>
      <c r="I22" s="120">
        <f t="shared" si="2"/>
        <v>0</v>
      </c>
      <c r="J22" s="120">
        <f t="shared" si="2"/>
        <v>0</v>
      </c>
      <c r="K22" s="120">
        <f t="shared" si="2"/>
        <v>1.5456780348208346E-2</v>
      </c>
      <c r="L22" s="120">
        <f t="shared" si="2"/>
        <v>0</v>
      </c>
      <c r="M22" s="53"/>
      <c r="N22" s="74"/>
      <c r="O22" s="74"/>
      <c r="P22" s="74"/>
      <c r="U22">
        <v>6.7678876105131702E-4</v>
      </c>
      <c r="V22">
        <v>6.7847862062947266E-4</v>
      </c>
      <c r="W22">
        <v>6.5874106075661525E-4</v>
      </c>
      <c r="X22">
        <v>6.627577745417165E-4</v>
      </c>
      <c r="Y22">
        <v>6.627577745417165E-4</v>
      </c>
      <c r="Z22">
        <v>7.0305481904813405E-4</v>
      </c>
      <c r="AA22">
        <v>7.0033682361366931E-4</v>
      </c>
      <c r="AD22">
        <v>1.5456780348208345E-4</v>
      </c>
    </row>
    <row r="23" spans="1:31" x14ac:dyDescent="0.35">
      <c r="A23" t="s">
        <v>43</v>
      </c>
      <c r="B23" s="4"/>
      <c r="C23" s="120">
        <f t="shared" si="3"/>
        <v>0</v>
      </c>
      <c r="D23" s="120">
        <f t="shared" si="2"/>
        <v>0</v>
      </c>
      <c r="E23" s="120">
        <f t="shared" si="2"/>
        <v>0</v>
      </c>
      <c r="F23" s="120">
        <f t="shared" si="2"/>
        <v>2.6056373139365121E-2</v>
      </c>
      <c r="G23" s="120">
        <f t="shared" si="2"/>
        <v>1.6408051821228686E-2</v>
      </c>
      <c r="H23" s="120">
        <f t="shared" si="2"/>
        <v>0</v>
      </c>
      <c r="I23" s="120">
        <f t="shared" si="2"/>
        <v>1.6370675995172806E-2</v>
      </c>
      <c r="J23" s="120">
        <f t="shared" si="2"/>
        <v>1.592557120349309E-2</v>
      </c>
      <c r="K23" s="120">
        <f t="shared" si="2"/>
        <v>0</v>
      </c>
      <c r="L23" s="120">
        <f t="shared" si="2"/>
        <v>1.4290358324480288E-2</v>
      </c>
      <c r="Y23">
        <v>2.6056373139365122E-4</v>
      </c>
      <c r="Z23">
        <v>1.6408051821228687E-4</v>
      </c>
      <c r="AB23">
        <v>1.6370675995172807E-4</v>
      </c>
      <c r="AC23">
        <v>1.592557120349309E-4</v>
      </c>
      <c r="AE23">
        <v>1.4290358324480287E-4</v>
      </c>
    </row>
    <row r="24" spans="1:31" x14ac:dyDescent="0.35">
      <c r="A24" t="s">
        <v>49</v>
      </c>
      <c r="B24" s="4"/>
      <c r="C24" s="120">
        <f t="shared" si="3"/>
        <v>0</v>
      </c>
      <c r="D24" s="120">
        <f t="shared" si="2"/>
        <v>0</v>
      </c>
      <c r="E24" s="120">
        <f t="shared" si="2"/>
        <v>0</v>
      </c>
      <c r="F24" s="120">
        <f t="shared" si="2"/>
        <v>0</v>
      </c>
      <c r="G24" s="120">
        <f t="shared" si="2"/>
        <v>0</v>
      </c>
      <c r="H24" s="120">
        <f t="shared" si="2"/>
        <v>0</v>
      </c>
      <c r="I24" s="120">
        <f t="shared" si="2"/>
        <v>0</v>
      </c>
      <c r="J24" s="120">
        <f t="shared" si="2"/>
        <v>3.2290044444566179E-2</v>
      </c>
      <c r="K24" s="120">
        <f t="shared" si="2"/>
        <v>3.0503133955002783E-2</v>
      </c>
      <c r="L24" s="120">
        <f t="shared" si="2"/>
        <v>2.9077854590158797E-2</v>
      </c>
      <c r="AC24">
        <v>3.2290044444566179E-4</v>
      </c>
      <c r="AD24">
        <v>3.0503133955002784E-4</v>
      </c>
      <c r="AE24">
        <v>2.9077854590158799E-4</v>
      </c>
    </row>
    <row r="25" spans="1:31" x14ac:dyDescent="0.35">
      <c r="A25" t="s">
        <v>41</v>
      </c>
      <c r="B25" s="4"/>
      <c r="C25" s="120">
        <f t="shared" si="3"/>
        <v>0</v>
      </c>
      <c r="D25" s="120">
        <f t="shared" si="2"/>
        <v>0</v>
      </c>
      <c r="E25" s="120">
        <f t="shared" si="2"/>
        <v>0</v>
      </c>
      <c r="F25" s="120">
        <f t="shared" si="2"/>
        <v>0</v>
      </c>
      <c r="G25" s="120">
        <f t="shared" si="2"/>
        <v>0</v>
      </c>
      <c r="H25" s="120">
        <f t="shared" si="2"/>
        <v>0</v>
      </c>
      <c r="I25" s="120">
        <f t="shared" si="2"/>
        <v>0</v>
      </c>
      <c r="J25" s="120">
        <f t="shared" si="2"/>
        <v>0</v>
      </c>
      <c r="K25" s="120">
        <f t="shared" si="2"/>
        <v>7.5026931130361286E-3</v>
      </c>
      <c r="L25" s="120">
        <f t="shared" si="2"/>
        <v>7.5001960195085291E-3</v>
      </c>
      <c r="AD25">
        <v>7.5026931130361287E-5</v>
      </c>
      <c r="AE25">
        <v>7.500196019508529E-5</v>
      </c>
    </row>
    <row r="26" spans="1:31" x14ac:dyDescent="0.35">
      <c r="A26" t="s">
        <v>42</v>
      </c>
      <c r="B26" s="4"/>
      <c r="C26" s="120">
        <f t="shared" si="3"/>
        <v>0</v>
      </c>
      <c r="D26" s="120">
        <f t="shared" si="3"/>
        <v>0</v>
      </c>
      <c r="E26" s="120">
        <f t="shared" si="3"/>
        <v>0</v>
      </c>
      <c r="F26" s="120">
        <f t="shared" si="3"/>
        <v>0</v>
      </c>
      <c r="G26" s="120">
        <f t="shared" si="3"/>
        <v>0</v>
      </c>
      <c r="H26" s="120">
        <f t="shared" si="3"/>
        <v>0</v>
      </c>
      <c r="I26" s="120">
        <f t="shared" si="3"/>
        <v>0</v>
      </c>
      <c r="J26" s="120">
        <f t="shared" si="3"/>
        <v>0</v>
      </c>
      <c r="K26" s="120">
        <f t="shared" si="3"/>
        <v>3.8515248677965333E-3</v>
      </c>
      <c r="L26" s="120">
        <f t="shared" si="3"/>
        <v>4.536199189263776E-3</v>
      </c>
      <c r="AD26">
        <v>3.8515248677965332E-5</v>
      </c>
      <c r="AE26">
        <v>4.5361991892637763E-5</v>
      </c>
    </row>
    <row r="27" spans="1:31" x14ac:dyDescent="0.35">
      <c r="A27" t="s">
        <v>37</v>
      </c>
      <c r="B27" s="4"/>
      <c r="C27" s="120">
        <f t="shared" si="3"/>
        <v>2.8150905168878498E-2</v>
      </c>
      <c r="D27" s="120">
        <f t="shared" si="3"/>
        <v>2.7358362525127619E-2</v>
      </c>
      <c r="E27" s="120">
        <f t="shared" si="3"/>
        <v>2.7507473094259924E-2</v>
      </c>
      <c r="F27" s="120">
        <f t="shared" si="3"/>
        <v>2.7230471280925428E-2</v>
      </c>
      <c r="G27" s="120">
        <f t="shared" si="3"/>
        <v>2.9213187852692536E-2</v>
      </c>
      <c r="H27" s="120">
        <f t="shared" si="3"/>
        <v>2.9123999875708972E-2</v>
      </c>
      <c r="I27" s="120">
        <f t="shared" si="3"/>
        <v>2.8789502265473041E-2</v>
      </c>
      <c r="J27" s="120">
        <f t="shared" si="3"/>
        <v>2.7762225642831553E-2</v>
      </c>
      <c r="K27" s="120">
        <f t="shared" si="3"/>
        <v>2.7494893176635078E-2</v>
      </c>
      <c r="L27" s="120">
        <f t="shared" si="3"/>
        <v>2.6206277302228586E-2</v>
      </c>
      <c r="V27">
        <v>2.8150905168878497E-4</v>
      </c>
      <c r="W27">
        <v>2.735836252512762E-4</v>
      </c>
      <c r="X27">
        <v>2.7507473094259924E-4</v>
      </c>
      <c r="Y27">
        <v>2.7230471280925429E-4</v>
      </c>
      <c r="Z27">
        <v>2.9213187852692536E-4</v>
      </c>
      <c r="AA27">
        <v>2.9123999875708972E-4</v>
      </c>
      <c r="AB27">
        <v>2.8789502265473039E-4</v>
      </c>
      <c r="AC27">
        <v>2.7762225642831553E-4</v>
      </c>
      <c r="AD27">
        <v>2.7494893176635077E-4</v>
      </c>
      <c r="AE27">
        <v>2.6206277302228586E-4</v>
      </c>
    </row>
    <row r="28" spans="1:31" x14ac:dyDescent="0.35">
      <c r="A28" t="s">
        <v>40</v>
      </c>
      <c r="B28" s="4"/>
      <c r="C28" s="120">
        <f t="shared" si="3"/>
        <v>0</v>
      </c>
      <c r="D28" s="120">
        <f t="shared" si="3"/>
        <v>0</v>
      </c>
      <c r="E28" s="120">
        <f t="shared" si="3"/>
        <v>0</v>
      </c>
      <c r="F28" s="120">
        <f t="shared" si="3"/>
        <v>0</v>
      </c>
      <c r="G28" s="120">
        <f t="shared" si="3"/>
        <v>0</v>
      </c>
      <c r="H28" s="120">
        <f t="shared" si="3"/>
        <v>0</v>
      </c>
      <c r="I28" s="120">
        <f t="shared" si="3"/>
        <v>4.5823550064719804E-2</v>
      </c>
      <c r="J28" s="120">
        <f t="shared" si="3"/>
        <v>4.3474858882809858E-2</v>
      </c>
      <c r="K28" s="120">
        <f t="shared" si="3"/>
        <v>4.6014208933715134E-2</v>
      </c>
      <c r="L28" s="120">
        <f t="shared" si="3"/>
        <v>4.3639776950501481E-2</v>
      </c>
      <c r="AB28">
        <v>4.5823550064719805E-4</v>
      </c>
      <c r="AC28">
        <v>4.3474858882809858E-4</v>
      </c>
      <c r="AD28">
        <v>4.6014208933715131E-4</v>
      </c>
      <c r="AE28">
        <v>4.3639776950501482E-4</v>
      </c>
    </row>
    <row r="29" spans="1:31" x14ac:dyDescent="0.35">
      <c r="H29" s="2"/>
      <c r="J29" s="2"/>
    </row>
  </sheetData>
  <mergeCells count="2">
    <mergeCell ref="B1:L1"/>
    <mergeCell ref="B8:L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10" sqref="B10:L28"/>
    </sheetView>
  </sheetViews>
  <sheetFormatPr baseColWidth="10" defaultColWidth="11.453125" defaultRowHeight="14.5" x14ac:dyDescent="0.35"/>
  <cols>
    <col min="1" max="1" width="22.54296875" style="2" customWidth="1"/>
    <col min="2" max="16384" width="11.453125" style="2"/>
  </cols>
  <sheetData>
    <row r="1" spans="1:12" ht="15" thickBot="1" x14ac:dyDescent="0.4">
      <c r="B1" s="119"/>
      <c r="C1" s="119"/>
      <c r="D1" s="119"/>
      <c r="E1" s="119"/>
      <c r="F1" s="119"/>
      <c r="G1" s="119"/>
      <c r="H1" s="119"/>
      <c r="I1" s="119"/>
      <c r="J1" s="119"/>
      <c r="K1" s="119"/>
      <c r="L1" s="119"/>
    </row>
    <row r="2" spans="1:12" ht="15.5" thickTop="1" thickBot="1" x14ac:dyDescent="0.4">
      <c r="A2" s="24" t="s">
        <v>3</v>
      </c>
      <c r="B2" s="24">
        <v>2008</v>
      </c>
      <c r="C2" s="24">
        <v>2009</v>
      </c>
      <c r="D2" s="24">
        <v>2010</v>
      </c>
      <c r="E2" s="24">
        <v>2011</v>
      </c>
      <c r="F2" s="24">
        <v>2012</v>
      </c>
      <c r="G2" s="24">
        <v>2013</v>
      </c>
      <c r="H2" s="24">
        <v>2014</v>
      </c>
      <c r="I2" s="24">
        <v>2015</v>
      </c>
      <c r="J2" s="24">
        <v>2016</v>
      </c>
      <c r="K2" s="24">
        <v>2017</v>
      </c>
      <c r="L2" s="24">
        <v>2018</v>
      </c>
    </row>
    <row r="3" spans="1:12" ht="15.5" thickTop="1" thickBot="1" x14ac:dyDescent="0.4">
      <c r="A3" s="28" t="s">
        <v>4</v>
      </c>
      <c r="B3" s="109">
        <v>8.6994450058062824</v>
      </c>
      <c r="C3" s="101">
        <v>8.6790603775568176</v>
      </c>
      <c r="D3" s="109">
        <v>8.8139818658640756</v>
      </c>
      <c r="E3" s="101">
        <v>8.7079682520890813</v>
      </c>
      <c r="F3" s="109">
        <v>9.0425547112082594</v>
      </c>
      <c r="G3" s="109">
        <v>8.9922585197449134</v>
      </c>
      <c r="H3" s="109">
        <v>9.37246054339575</v>
      </c>
      <c r="I3" s="109">
        <v>9.3412533470478447</v>
      </c>
      <c r="J3" s="109">
        <v>8.9553677766505437</v>
      </c>
      <c r="K3" s="109">
        <v>9.212322334146851</v>
      </c>
      <c r="L3" s="109">
        <v>9.1543787909856693</v>
      </c>
    </row>
    <row r="4" spans="1:12" ht="15" thickBot="1" x14ac:dyDescent="0.4">
      <c r="A4" s="21" t="s">
        <v>5</v>
      </c>
      <c r="B4" s="92">
        <v>1.8755319549232234</v>
      </c>
      <c r="C4" s="92">
        <v>1.8771916733482605</v>
      </c>
      <c r="D4" s="92">
        <v>1.8365554912604791</v>
      </c>
      <c r="E4" s="86">
        <v>2.0445515343379221</v>
      </c>
      <c r="F4" s="92">
        <v>1.7156707246449905</v>
      </c>
      <c r="G4" s="92">
        <v>1.7191877967041191</v>
      </c>
      <c r="H4" s="92">
        <v>1.7377334877488577</v>
      </c>
      <c r="I4" s="92">
        <v>1.7800603193319844</v>
      </c>
      <c r="J4" s="92">
        <v>1.8000322948876171</v>
      </c>
      <c r="K4" s="92">
        <v>1.4801046855571649</v>
      </c>
      <c r="L4" s="92">
        <v>1.2479974732188996</v>
      </c>
    </row>
    <row r="5" spans="1:12" ht="15" thickBot="1" x14ac:dyDescent="0.4">
      <c r="A5" s="22" t="s">
        <v>6</v>
      </c>
      <c r="B5" s="93">
        <v>0.76039242846440014</v>
      </c>
      <c r="C5" s="93">
        <v>0.83175488599784597</v>
      </c>
      <c r="D5" s="93">
        <v>0.81524952561365205</v>
      </c>
      <c r="E5" s="87">
        <v>0.54833333333332523</v>
      </c>
      <c r="F5" s="93">
        <v>0.79206236372524608</v>
      </c>
      <c r="G5" s="93">
        <v>0.78474861610978985</v>
      </c>
      <c r="H5" s="93">
        <v>1.3669313563618644</v>
      </c>
      <c r="I5" s="93">
        <v>0.89823765690988899</v>
      </c>
      <c r="J5" s="93">
        <v>0.98390894763118897</v>
      </c>
      <c r="K5" s="93">
        <v>1.4800029203060736</v>
      </c>
      <c r="L5" s="93">
        <v>1.4283316909292785</v>
      </c>
    </row>
    <row r="6" spans="1:12" ht="15" thickBot="1" x14ac:dyDescent="0.4">
      <c r="A6" s="23" t="s">
        <v>7</v>
      </c>
      <c r="B6" s="94">
        <v>0.54833333333333278</v>
      </c>
      <c r="C6" s="94">
        <v>0.54833333333333367</v>
      </c>
      <c r="D6" s="94">
        <v>0.54833333333333367</v>
      </c>
      <c r="E6" s="106">
        <v>0.54833333333333367</v>
      </c>
      <c r="F6" s="94">
        <v>0.54833333333333367</v>
      </c>
      <c r="G6" s="94">
        <v>0.54833333333333367</v>
      </c>
      <c r="H6" s="94">
        <v>0.54833333333333367</v>
      </c>
      <c r="I6" s="94">
        <v>0.54833333333333156</v>
      </c>
      <c r="J6" s="94">
        <v>0.54833333333333134</v>
      </c>
      <c r="K6" s="94">
        <v>0.54833333333333123</v>
      </c>
      <c r="L6" s="94">
        <v>0.54833333333333123</v>
      </c>
    </row>
    <row r="8" spans="1:12" ht="15" thickBot="1" x14ac:dyDescent="0.4">
      <c r="B8" s="119"/>
      <c r="C8" s="119"/>
      <c r="D8" s="119"/>
      <c r="E8" s="119"/>
      <c r="F8" s="119"/>
      <c r="G8" s="119"/>
      <c r="H8" s="119"/>
      <c r="I8" s="119"/>
      <c r="J8" s="119"/>
      <c r="K8" s="119"/>
      <c r="L8" s="119"/>
    </row>
    <row r="9" spans="1:12" ht="15.5" thickTop="1" thickBot="1" x14ac:dyDescent="0.4">
      <c r="A9" s="24" t="s">
        <v>2</v>
      </c>
      <c r="B9" s="24">
        <v>2008</v>
      </c>
      <c r="C9" s="24">
        <v>2009</v>
      </c>
      <c r="D9" s="24">
        <v>2010</v>
      </c>
      <c r="E9" s="24">
        <v>2011</v>
      </c>
      <c r="F9" s="24">
        <v>2012</v>
      </c>
      <c r="G9" s="24">
        <v>2013</v>
      </c>
      <c r="H9" s="24">
        <v>2014</v>
      </c>
      <c r="I9" s="24">
        <v>2015</v>
      </c>
      <c r="J9" s="24">
        <v>2016</v>
      </c>
      <c r="K9" s="24">
        <v>2017</v>
      </c>
      <c r="L9" s="24">
        <v>2018</v>
      </c>
    </row>
    <row r="10" spans="1:12" ht="15.5" thickTop="1" thickBot="1" x14ac:dyDescent="0.4">
      <c r="A10" s="19" t="s">
        <v>34</v>
      </c>
      <c r="B10" s="89">
        <v>1.5479478966551663</v>
      </c>
      <c r="C10" s="90">
        <v>1.454851593531826</v>
      </c>
      <c r="D10" s="89">
        <v>1.5417813341665652</v>
      </c>
      <c r="E10" s="113">
        <v>1.5634461061596117</v>
      </c>
      <c r="F10" s="90">
        <v>1.4014217559224953</v>
      </c>
      <c r="G10" s="90">
        <v>1.4964674031115215</v>
      </c>
      <c r="H10" s="89">
        <v>1.7593436721284583</v>
      </c>
      <c r="I10" s="90">
        <v>1.7360165401857408</v>
      </c>
      <c r="J10" s="89">
        <v>1.7177205496204233</v>
      </c>
      <c r="K10" s="90">
        <v>1.4189320608176494</v>
      </c>
      <c r="L10" s="89">
        <v>1.4950837875935499</v>
      </c>
    </row>
    <row r="11" spans="1:12" ht="15" thickBot="1" x14ac:dyDescent="0.4">
      <c r="A11" s="20" t="s">
        <v>35</v>
      </c>
      <c r="B11" s="89">
        <v>1.7543164631078114</v>
      </c>
      <c r="C11" s="89">
        <v>1.7939239006242667</v>
      </c>
      <c r="D11" s="89">
        <v>1.7066224206094369</v>
      </c>
      <c r="E11" s="113">
        <v>1.6466360101311981</v>
      </c>
      <c r="F11" s="90">
        <v>1.7517012558277871</v>
      </c>
      <c r="G11" s="89">
        <v>1.6712611428357116</v>
      </c>
      <c r="H11" s="89">
        <v>1.6549331647957954</v>
      </c>
      <c r="I11" s="89">
        <v>1.7399046205953992</v>
      </c>
      <c r="J11" s="89">
        <v>1.7242860759161016</v>
      </c>
      <c r="K11" s="90">
        <v>1.7139821264768571</v>
      </c>
      <c r="L11" s="89">
        <v>1.5460621044179681</v>
      </c>
    </row>
    <row r="12" spans="1:12" ht="15" thickBot="1" x14ac:dyDescent="0.4">
      <c r="A12" s="21" t="s">
        <v>36</v>
      </c>
      <c r="B12" s="92">
        <v>1.9802762808976437</v>
      </c>
      <c r="C12" s="92">
        <v>2.0851733074884322</v>
      </c>
      <c r="D12" s="92">
        <v>2.0381202159674618</v>
      </c>
      <c r="E12" s="114">
        <v>1.9845795805798132</v>
      </c>
      <c r="F12" s="86">
        <v>2.0057916202146782</v>
      </c>
      <c r="G12" s="92">
        <v>1.9973516778315408</v>
      </c>
      <c r="H12" s="92">
        <v>2.0140282528473268</v>
      </c>
      <c r="I12" s="92">
        <v>1.9784349249751059</v>
      </c>
      <c r="J12" s="92">
        <v>2.0568967089897869</v>
      </c>
      <c r="K12" s="86">
        <v>1.8221876535171022</v>
      </c>
      <c r="L12" s="92">
        <v>2.0146745264793573</v>
      </c>
    </row>
    <row r="13" spans="1:12" ht="15" thickBot="1" x14ac:dyDescent="0.4">
      <c r="A13" s="21" t="s">
        <v>45</v>
      </c>
      <c r="B13" s="92">
        <v>7.4278952705628241</v>
      </c>
      <c r="C13" s="92">
        <v>6.2754254805894298</v>
      </c>
      <c r="D13" s="92">
        <v>6.1474446735961852</v>
      </c>
      <c r="E13" s="114">
        <v>4.2683448422584149</v>
      </c>
      <c r="F13" s="86">
        <v>11.661207265964313</v>
      </c>
      <c r="G13" s="92">
        <v>5.601181627356147</v>
      </c>
      <c r="H13" s="92">
        <v>11.661207265964313</v>
      </c>
      <c r="I13" s="92"/>
      <c r="J13" s="92"/>
      <c r="K13" s="86"/>
      <c r="L13" s="92"/>
    </row>
    <row r="14" spans="1:12" ht="15" thickBot="1" x14ac:dyDescent="0.4">
      <c r="A14" s="22" t="s">
        <v>38</v>
      </c>
      <c r="B14" s="93">
        <v>9.4765031773439521</v>
      </c>
      <c r="C14" s="93">
        <v>10.304418926256204</v>
      </c>
      <c r="D14" s="93">
        <v>10.125779274078148</v>
      </c>
      <c r="E14" s="103">
        <v>10.422470479175612</v>
      </c>
      <c r="F14" s="93">
        <v>9.9815289735075154</v>
      </c>
      <c r="G14" s="93">
        <v>10.625226635589673</v>
      </c>
      <c r="H14" s="93">
        <v>10.819716305620878</v>
      </c>
      <c r="I14" s="93">
        <v>10.996695106340862</v>
      </c>
      <c r="J14" s="93">
        <v>11.369922704172474</v>
      </c>
      <c r="K14" s="87">
        <v>10.505224381977488</v>
      </c>
      <c r="L14" s="93">
        <v>10.4390665821923</v>
      </c>
    </row>
    <row r="15" spans="1:12" ht="15" thickBot="1" x14ac:dyDescent="0.4">
      <c r="A15" s="22" t="s">
        <v>50</v>
      </c>
      <c r="B15" s="93">
        <v>0.54833333333333278</v>
      </c>
      <c r="C15" s="93"/>
      <c r="D15" s="93"/>
      <c r="E15" s="103"/>
      <c r="F15" s="93"/>
      <c r="G15" s="93"/>
      <c r="H15" s="93"/>
      <c r="I15" s="93"/>
      <c r="J15" s="93"/>
      <c r="K15" s="87"/>
      <c r="L15" s="93"/>
    </row>
    <row r="16" spans="1:12" ht="15" thickBot="1" x14ac:dyDescent="0.4">
      <c r="A16" s="23" t="s">
        <v>51</v>
      </c>
      <c r="B16" s="94">
        <v>0.54833333333333278</v>
      </c>
      <c r="C16" s="94"/>
      <c r="D16" s="94"/>
      <c r="E16" s="88"/>
      <c r="F16" s="94"/>
      <c r="G16" s="94"/>
      <c r="H16" s="94"/>
      <c r="I16" s="94"/>
      <c r="J16" s="94"/>
      <c r="K16" s="106"/>
      <c r="L16" s="94"/>
    </row>
    <row r="17" spans="1:12" x14ac:dyDescent="0.35">
      <c r="A17" s="2" t="s">
        <v>47</v>
      </c>
      <c r="B17" s="105">
        <v>1.3444968076305577</v>
      </c>
      <c r="C17" s="105"/>
      <c r="D17" s="105">
        <v>1.317068618321406</v>
      </c>
      <c r="E17" s="105">
        <v>1.3783379231391526</v>
      </c>
      <c r="F17" s="105">
        <v>1.2956915441206676</v>
      </c>
      <c r="G17" s="105"/>
      <c r="H17" s="105"/>
      <c r="I17" s="105"/>
      <c r="J17" s="105"/>
      <c r="K17" s="105"/>
      <c r="L17" s="105"/>
    </row>
    <row r="18" spans="1:12" x14ac:dyDescent="0.35">
      <c r="A18" s="2" t="s">
        <v>52</v>
      </c>
      <c r="B18" s="105">
        <v>0.82159765435929355</v>
      </c>
      <c r="C18" s="105"/>
      <c r="D18" s="105">
        <v>1.317068618321406</v>
      </c>
      <c r="E18" s="105">
        <v>1.3783379231391526</v>
      </c>
      <c r="F18" s="105">
        <v>1.2956915441206676</v>
      </c>
      <c r="G18" s="105"/>
      <c r="H18" s="105"/>
      <c r="I18" s="105"/>
      <c r="J18" s="105"/>
      <c r="K18" s="105"/>
      <c r="L18" s="105"/>
    </row>
    <row r="19" spans="1:12" x14ac:dyDescent="0.35">
      <c r="A19" s="2" t="s">
        <v>48</v>
      </c>
      <c r="B19" s="105">
        <v>8.2767266420104075</v>
      </c>
      <c r="C19" s="105">
        <v>8.2767266420104129</v>
      </c>
      <c r="D19" s="105">
        <v>8.2767266420104129</v>
      </c>
      <c r="E19" s="105">
        <v>8.2767266420104129</v>
      </c>
      <c r="F19" s="105">
        <v>1.2956915441206676</v>
      </c>
      <c r="G19" s="105"/>
      <c r="H19" s="105"/>
      <c r="I19" s="105"/>
      <c r="J19" s="105"/>
      <c r="K19" s="105"/>
      <c r="L19" s="105"/>
    </row>
    <row r="20" spans="1:12" x14ac:dyDescent="0.35">
      <c r="A20" s="2" t="s">
        <v>39</v>
      </c>
      <c r="B20" s="105">
        <v>1.6086288089886938</v>
      </c>
      <c r="C20" s="105">
        <v>1.6010419575158323</v>
      </c>
      <c r="D20" s="105">
        <v>1.4825400063144716</v>
      </c>
      <c r="E20" s="105">
        <v>1.4697101342081553</v>
      </c>
      <c r="F20" s="105">
        <v>1.6044924650316501</v>
      </c>
      <c r="G20" s="105">
        <v>1.5727995586980044</v>
      </c>
      <c r="H20" s="105">
        <v>1.5830602484248617</v>
      </c>
      <c r="I20" s="105">
        <v>1.5928291312052385</v>
      </c>
      <c r="J20" s="105"/>
      <c r="K20" s="105">
        <v>1.4395434481184228</v>
      </c>
      <c r="L20" s="105">
        <v>1.6730814973559847</v>
      </c>
    </row>
    <row r="21" spans="1:12" x14ac:dyDescent="0.35">
      <c r="A21" s="2" t="s">
        <v>44</v>
      </c>
      <c r="B21" s="105">
        <v>0.54833333333332557</v>
      </c>
      <c r="C21" s="105">
        <v>0.54833333333332468</v>
      </c>
      <c r="D21" s="105">
        <v>0.54833333333332435</v>
      </c>
      <c r="E21" s="105">
        <v>0.54833333333332479</v>
      </c>
      <c r="F21" s="105">
        <v>0.5483333333333249</v>
      </c>
      <c r="G21" s="105">
        <v>0.54833333333332535</v>
      </c>
      <c r="H21" s="105">
        <v>0.54833333333332523</v>
      </c>
      <c r="I21" s="105">
        <v>0.54833333333332601</v>
      </c>
      <c r="J21" s="105">
        <v>0.54833333333332712</v>
      </c>
      <c r="K21" s="105">
        <v>1.4395434481184228</v>
      </c>
      <c r="L21" s="105"/>
    </row>
    <row r="22" spans="1:12" x14ac:dyDescent="0.35">
      <c r="A22" s="2" t="s">
        <v>46</v>
      </c>
      <c r="B22" s="105">
        <v>0.54833333333333278</v>
      </c>
      <c r="C22" s="105">
        <v>0.54833333333333367</v>
      </c>
      <c r="D22" s="105">
        <v>0.54833333333333367</v>
      </c>
      <c r="E22" s="105">
        <v>0.54833333333333367</v>
      </c>
      <c r="F22" s="105">
        <v>0.5483333333333249</v>
      </c>
      <c r="G22" s="105">
        <v>0.54833333333333367</v>
      </c>
      <c r="H22" s="105">
        <v>0.54833333333333367</v>
      </c>
      <c r="I22" s="105"/>
      <c r="J22" s="105"/>
      <c r="K22" s="105"/>
      <c r="L22" s="105"/>
    </row>
    <row r="23" spans="1:12" x14ac:dyDescent="0.35">
      <c r="A23" s="2" t="s">
        <v>43</v>
      </c>
      <c r="B23" s="105"/>
      <c r="C23" s="105"/>
      <c r="D23" s="105"/>
      <c r="E23" s="105"/>
      <c r="F23" s="105">
        <v>0.54833333333333367</v>
      </c>
      <c r="G23" s="105">
        <v>0.54833333333333367</v>
      </c>
      <c r="H23" s="105">
        <v>10.819716305620878</v>
      </c>
      <c r="I23" s="105">
        <v>0.54833333333333156</v>
      </c>
      <c r="J23" s="105">
        <v>0.54833333333333134</v>
      </c>
      <c r="K23" s="105">
        <v>0.54833333333333123</v>
      </c>
      <c r="L23" s="105">
        <v>0.54833333333333123</v>
      </c>
    </row>
    <row r="24" spans="1:12" x14ac:dyDescent="0.35">
      <c r="A24" s="2" t="s">
        <v>49</v>
      </c>
      <c r="B24" s="105"/>
      <c r="C24" s="105"/>
      <c r="D24" s="105"/>
      <c r="E24" s="105"/>
      <c r="F24" s="105"/>
      <c r="G24" s="105"/>
      <c r="H24" s="105"/>
      <c r="I24" s="105"/>
      <c r="J24" s="105">
        <v>5.4981580074799261</v>
      </c>
      <c r="K24" s="105">
        <v>11.210712128228916</v>
      </c>
      <c r="L24" s="105">
        <v>11.038065982762724</v>
      </c>
    </row>
    <row r="25" spans="1:12" x14ac:dyDescent="0.35">
      <c r="A25" s="2" t="s">
        <v>41</v>
      </c>
      <c r="B25" s="105"/>
      <c r="C25" s="105"/>
      <c r="D25" s="105"/>
      <c r="E25" s="105"/>
      <c r="F25" s="105"/>
      <c r="G25" s="105"/>
      <c r="H25" s="105"/>
      <c r="I25" s="105"/>
      <c r="J25" s="105"/>
      <c r="K25" s="105">
        <v>0.54833333333333478</v>
      </c>
      <c r="L25" s="105">
        <v>0.54833333333333401</v>
      </c>
    </row>
    <row r="26" spans="1:12" x14ac:dyDescent="0.35">
      <c r="A26" s="2" t="s">
        <v>42</v>
      </c>
      <c r="B26" s="105"/>
      <c r="C26" s="105"/>
      <c r="D26" s="105"/>
      <c r="E26" s="105"/>
      <c r="F26" s="105"/>
      <c r="G26" s="105"/>
      <c r="H26" s="105"/>
      <c r="I26" s="105"/>
      <c r="J26" s="105"/>
      <c r="K26" s="105">
        <v>0.54833333333333345</v>
      </c>
      <c r="L26" s="105">
        <v>0.54833333333333434</v>
      </c>
    </row>
    <row r="27" spans="1:12" x14ac:dyDescent="0.35">
      <c r="A27" s="2" t="s">
        <v>37</v>
      </c>
      <c r="B27" s="105"/>
      <c r="C27" s="105">
        <v>7.4808115914849171</v>
      </c>
      <c r="D27" s="105">
        <v>7.5290234425498372</v>
      </c>
      <c r="E27" s="105">
        <v>7.7026707295074353</v>
      </c>
      <c r="F27" s="105">
        <v>7.650615837104521</v>
      </c>
      <c r="G27" s="105">
        <v>7.8114339895519898</v>
      </c>
      <c r="H27" s="105">
        <v>7.6583474608282138</v>
      </c>
      <c r="I27" s="105">
        <v>7.6858115877548245</v>
      </c>
      <c r="J27" s="105">
        <v>7.7903046956058741</v>
      </c>
      <c r="K27" s="105">
        <v>7.4239342850417787</v>
      </c>
      <c r="L27" s="105">
        <v>7.3500708714282625</v>
      </c>
    </row>
    <row r="28" spans="1:12" x14ac:dyDescent="0.35">
      <c r="A28" s="2" t="s">
        <v>40</v>
      </c>
      <c r="B28" s="105"/>
      <c r="C28" s="105"/>
      <c r="D28" s="105"/>
      <c r="E28" s="105"/>
      <c r="F28" s="105"/>
      <c r="G28" s="105"/>
      <c r="H28" s="105"/>
      <c r="I28" s="105">
        <v>1.4633017474901659</v>
      </c>
      <c r="J28" s="105">
        <v>1.4987878883391232</v>
      </c>
      <c r="K28" s="105">
        <v>1.3522358766305855</v>
      </c>
      <c r="L28" s="105">
        <v>1.3584031748073624</v>
      </c>
    </row>
  </sheetData>
  <mergeCells count="2">
    <mergeCell ref="B1:L1"/>
    <mergeCell ref="B8:L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L14" sqref="L14"/>
    </sheetView>
  </sheetViews>
  <sheetFormatPr baseColWidth="10" defaultColWidth="11.453125" defaultRowHeight="14.5" x14ac:dyDescent="0.35"/>
  <cols>
    <col min="1" max="1" width="22.54296875" style="2" customWidth="1"/>
    <col min="2" max="16384" width="11.453125" style="2"/>
  </cols>
  <sheetData>
    <row r="1" spans="1:12" ht="15" thickBot="1" x14ac:dyDescent="0.4">
      <c r="B1" s="119"/>
      <c r="C1" s="119"/>
      <c r="D1" s="119"/>
      <c r="E1" s="119"/>
      <c r="F1" s="119"/>
      <c r="G1" s="119"/>
      <c r="H1" s="119"/>
      <c r="I1" s="119"/>
      <c r="J1" s="119"/>
      <c r="K1" s="119"/>
      <c r="L1" s="119"/>
    </row>
    <row r="2" spans="1:12" ht="15.5" thickTop="1" thickBot="1" x14ac:dyDescent="0.4">
      <c r="A2" s="24" t="s">
        <v>3</v>
      </c>
      <c r="B2" s="24">
        <v>2008</v>
      </c>
      <c r="C2" s="24">
        <v>2009</v>
      </c>
      <c r="D2" s="24">
        <v>2010</v>
      </c>
      <c r="E2" s="24">
        <v>2011</v>
      </c>
      <c r="F2" s="24">
        <v>2012</v>
      </c>
      <c r="G2" s="24">
        <v>2013</v>
      </c>
      <c r="H2" s="24">
        <v>2014</v>
      </c>
      <c r="I2" s="24">
        <v>2015</v>
      </c>
      <c r="J2" s="24">
        <v>2016</v>
      </c>
      <c r="K2" s="24">
        <v>2017</v>
      </c>
      <c r="L2" s="24">
        <v>2018</v>
      </c>
    </row>
    <row r="3" spans="1:12" ht="15.5" thickTop="1" thickBot="1" x14ac:dyDescent="0.4">
      <c r="A3" s="28" t="s">
        <v>4</v>
      </c>
      <c r="B3" s="109">
        <v>12.430384826331673</v>
      </c>
      <c r="C3" s="101">
        <v>11.283628432727122</v>
      </c>
      <c r="D3" s="109">
        <v>11.847681284693314</v>
      </c>
      <c r="E3" s="101">
        <v>13.776508508068448</v>
      </c>
      <c r="F3" s="109">
        <v>15.225613637892135</v>
      </c>
      <c r="G3" s="109">
        <v>13.686944714656779</v>
      </c>
      <c r="H3" s="109">
        <v>18.666085527984908</v>
      </c>
      <c r="I3" s="109">
        <v>17.57663935353656</v>
      </c>
      <c r="J3" s="109">
        <v>18.586902073481184</v>
      </c>
      <c r="K3" s="109">
        <v>17.567329980641759</v>
      </c>
      <c r="L3" s="109">
        <v>15.56789781980358</v>
      </c>
    </row>
    <row r="4" spans="1:12" ht="15" thickBot="1" x14ac:dyDescent="0.4">
      <c r="A4" s="21" t="s">
        <v>5</v>
      </c>
      <c r="B4" s="92">
        <v>7.6253846508358167</v>
      </c>
      <c r="C4" s="92">
        <v>6.5664217021959255</v>
      </c>
      <c r="D4" s="92">
        <v>7.4037248139071661</v>
      </c>
      <c r="E4" s="86">
        <v>7.4563775458761201</v>
      </c>
      <c r="F4" s="92">
        <v>7.9455526846490505</v>
      </c>
      <c r="G4" s="92">
        <v>8.1746140635502318</v>
      </c>
      <c r="H4" s="92">
        <v>9.0327530257458974</v>
      </c>
      <c r="I4" s="92">
        <v>7.9502253483186571</v>
      </c>
      <c r="J4" s="92">
        <v>8.8394304679960793</v>
      </c>
      <c r="K4" s="92">
        <v>7.2450044282433721</v>
      </c>
      <c r="L4" s="92">
        <v>5.385633650662033</v>
      </c>
    </row>
    <row r="5" spans="1:12" ht="15" thickBot="1" x14ac:dyDescent="0.4">
      <c r="A5" s="22" t="s">
        <v>6</v>
      </c>
      <c r="B5" s="93">
        <v>3.923112430319144</v>
      </c>
      <c r="C5" s="93">
        <v>4.3840364885794543</v>
      </c>
      <c r="D5" s="93">
        <v>4.3939309941587386</v>
      </c>
      <c r="E5" s="87">
        <v>3.439206349206299</v>
      </c>
      <c r="F5" s="93">
        <v>4.7532644578452858</v>
      </c>
      <c r="G5" s="93">
        <v>3.7479058585462832</v>
      </c>
      <c r="H5" s="93">
        <v>4.6094101786992372</v>
      </c>
      <c r="I5" s="93">
        <v>4.9984531662701404</v>
      </c>
      <c r="J5" s="93">
        <v>4.8806261926292258</v>
      </c>
      <c r="K5" s="93">
        <v>7.5720320102126566</v>
      </c>
      <c r="L5" s="93">
        <v>6.7178357338447592</v>
      </c>
    </row>
    <row r="6" spans="1:12" ht="15" thickBot="1" x14ac:dyDescent="0.4">
      <c r="A6" s="23" t="s">
        <v>7</v>
      </c>
      <c r="B6" s="94">
        <v>4.4649999999999954</v>
      </c>
      <c r="C6" s="94">
        <v>4.3866666666666694</v>
      </c>
      <c r="D6" s="94">
        <v>4.3866666666666694</v>
      </c>
      <c r="E6" s="106">
        <v>4.3866666666666694</v>
      </c>
      <c r="F6" s="94">
        <v>2.1933333333333347</v>
      </c>
      <c r="G6" s="94">
        <v>0.36555555555555574</v>
      </c>
      <c r="H6" s="94">
        <v>1.9975000000000012</v>
      </c>
      <c r="I6" s="94">
        <v>2.8591666666666571</v>
      </c>
      <c r="J6" s="94">
        <v>2.8356666666666563</v>
      </c>
      <c r="K6" s="94">
        <v>3.303055555555543</v>
      </c>
      <c r="L6" s="94">
        <v>2.32388888888888</v>
      </c>
    </row>
    <row r="8" spans="1:12" ht="15" thickBot="1" x14ac:dyDescent="0.4">
      <c r="B8" s="119"/>
      <c r="C8" s="119"/>
      <c r="D8" s="119"/>
      <c r="E8" s="119"/>
      <c r="F8" s="119"/>
      <c r="G8" s="119"/>
      <c r="H8" s="119"/>
      <c r="I8" s="119"/>
      <c r="J8" s="119"/>
      <c r="K8" s="119"/>
      <c r="L8" s="119"/>
    </row>
    <row r="9" spans="1:12" ht="15.5" thickTop="1" thickBot="1" x14ac:dyDescent="0.4">
      <c r="A9" s="24" t="s">
        <v>2</v>
      </c>
      <c r="B9" s="24">
        <v>2008</v>
      </c>
      <c r="C9" s="24">
        <v>2009</v>
      </c>
      <c r="D9" s="24">
        <v>2010</v>
      </c>
      <c r="E9" s="24">
        <v>2011</v>
      </c>
      <c r="F9" s="24">
        <v>2012</v>
      </c>
      <c r="G9" s="24">
        <v>2013</v>
      </c>
      <c r="H9" s="24">
        <v>2014</v>
      </c>
      <c r="I9" s="24">
        <v>2015</v>
      </c>
      <c r="J9" s="24">
        <v>2016</v>
      </c>
      <c r="K9" s="24">
        <v>2017</v>
      </c>
      <c r="L9" s="24">
        <v>2018</v>
      </c>
    </row>
    <row r="10" spans="1:12" ht="15.5" thickTop="1" thickBot="1" x14ac:dyDescent="0.4">
      <c r="A10" s="19" t="s">
        <v>34</v>
      </c>
      <c r="B10" s="89">
        <f>LOOKUP($A10,Tabla1[[#All],[Columna1]],Tabla1[[#All],[Columna10]])</f>
        <v>9.5088227937388776</v>
      </c>
      <c r="C10" s="90">
        <f>LOOKUP($A10,'2009'!$A$4:$A$14,'2009'!$J$4:$J$14)</f>
        <v>9.0853997473620147</v>
      </c>
      <c r="D10" s="90">
        <f>LOOKUP($A10,'2010'!$A$4:$A$14,'2010'!$J$4:$J$14)</f>
        <v>9.0933633790640265</v>
      </c>
      <c r="E10" s="90">
        <f>LOOKUP($A10,'2011'!$A$4:$A$14,'2011'!$J$4:$J$14)</f>
        <v>8.7744424325284314</v>
      </c>
      <c r="F10" s="90">
        <f>LOOKUP($A10,'2012'!$A$4:$A$14,'2012'!$J$4:$J$14)</f>
        <v>8.4943318675302262</v>
      </c>
      <c r="G10" s="90">
        <f>LOOKUP($A10,'2013'!$A$4:$A$14,'2013'!$J$4:$J$14)</f>
        <v>7.9526553422498001</v>
      </c>
      <c r="H10" s="90">
        <f>LOOKUP($A10,'2014'!$A$4:$A$14,'2014'!$J$4:$J$14)</f>
        <v>10.857663805135628</v>
      </c>
      <c r="I10" s="90">
        <f>LOOKUP($A10,'2015'!$A$4:$A$14,'2015'!$J$4:$J$14)</f>
        <v>8.0600767937195119</v>
      </c>
      <c r="J10" s="90">
        <f>LOOKUP($A10,'2016'!$A$4:$A$14,'2016'!$J$4:$J$14)</f>
        <v>8.8748895063721864</v>
      </c>
      <c r="K10" s="90">
        <f>LOOKUP($A10,'2017'!$A$4:$A$14,'2017'!$J$4:$J$14)</f>
        <v>8.4325105328591743</v>
      </c>
      <c r="L10" s="90">
        <f>LOOKUP($A10,'2018'!$A$4:$A$14,'2018'!$J$4:$J$14)</f>
        <v>7.4754189379677491</v>
      </c>
    </row>
    <row r="11" spans="1:12" ht="15" thickBot="1" x14ac:dyDescent="0.4">
      <c r="A11" s="20" t="s">
        <v>35</v>
      </c>
      <c r="B11" s="89">
        <f>LOOKUP($A11,Tabla1[[#All],[Columna1]],Tabla1[[#All],[Columna10]])</f>
        <v>6.6991755047248835</v>
      </c>
      <c r="C11" s="90">
        <f>LOOKUP($A11,'2009'!$A$4:$A$14,'2009'!$J$4:$J$14)</f>
        <v>5.5992170231605902</v>
      </c>
      <c r="D11" s="90">
        <f>LOOKUP($A11,'2010'!$A$4:$A$14,'2010'!$J$4:$J$14)</f>
        <v>6.8806681719809042</v>
      </c>
      <c r="E11" s="90">
        <f>LOOKUP($A11,'2011'!$A$4:$A$14,'2011'!$J$4:$J$14)</f>
        <v>7.27482046803995</v>
      </c>
      <c r="F11" s="90">
        <f>LOOKUP($A11,'2012'!$A$4:$A$14,'2012'!$J$4:$J$14)</f>
        <v>7.5072910964048019</v>
      </c>
      <c r="G11" s="90">
        <f>LOOKUP($A11,'2013'!$A$4:$A$14,'2013'!$J$4:$J$14)</f>
        <v>7.7882415818846464</v>
      </c>
      <c r="H11" s="90">
        <f>LOOKUP($A11,'2014'!$A$4:$A$14,'2014'!$J$4:$J$14)</f>
        <v>8.3591011895297829</v>
      </c>
      <c r="I11" s="90">
        <f>LOOKUP($A11,'2015'!$A$4:$A$14,'2015'!$J$4:$J$14)</f>
        <v>7.1282827058066607</v>
      </c>
      <c r="J11" s="90">
        <f>LOOKUP($A11,'2016'!$A$4:$A$14,'2016'!$J$4:$J$14)</f>
        <v>8.2519405061699143</v>
      </c>
      <c r="K11" s="90">
        <f>LOOKUP($A11,'2017'!$A$4:$A$14,'2017'!$J$4:$J$14)</f>
        <v>7.5904922743975094</v>
      </c>
      <c r="L11" s="90">
        <f>LOOKUP($A11,'2018'!$A$4:$A$14,'2018'!$J$4:$J$14)</f>
        <v>6.4151537969031267</v>
      </c>
    </row>
    <row r="12" spans="1:12" ht="15" thickBot="1" x14ac:dyDescent="0.4">
      <c r="A12" s="21" t="s">
        <v>36</v>
      </c>
      <c r="B12" s="89">
        <f>LOOKUP($A12,Tabla1[[#All],[Columna1]],Tabla1[[#All],[Columna10]])</f>
        <v>10.420025192342363</v>
      </c>
      <c r="C12" s="90">
        <f>LOOKUP($A12,'2009'!$A$4:$A$14,'2009'!$J$4:$J$14)</f>
        <v>9.5747753915285152</v>
      </c>
      <c r="D12" s="90">
        <f>LOOKUP($A12,'2010'!$A$4:$A$14,'2010'!$J$4:$J$14)</f>
        <v>10.869974485159796</v>
      </c>
      <c r="E12" s="90">
        <f>LOOKUP($A12,'2011'!$A$4:$A$14,'2011'!$J$4:$J$14)</f>
        <v>10.89493688114224</v>
      </c>
      <c r="F12" s="90">
        <f>LOOKUP($A12,'2012'!$A$4:$A$14,'2012'!$J$4:$J$14)</f>
        <v>10.970452126888443</v>
      </c>
      <c r="G12" s="90">
        <f>LOOKUP($A12,'2013'!$A$4:$A$14,'2013'!$J$4:$J$14)</f>
        <v>9.542902460750696</v>
      </c>
      <c r="H12" s="90">
        <f>LOOKUP($A12,'2014'!$A$4:$A$14,'2014'!$J$4:$J$14)</f>
        <v>10.249965215383716</v>
      </c>
      <c r="I12" s="90">
        <f>LOOKUP($A12,'2015'!$A$4:$A$14,'2015'!$J$4:$J$14)</f>
        <v>11.143837536594475</v>
      </c>
      <c r="J12" s="90">
        <f>LOOKUP($A12,'2016'!$A$4:$A$14,'2016'!$J$4:$J$14)</f>
        <v>10.382431007281781</v>
      </c>
      <c r="K12" s="90">
        <f>LOOKUP($A12,'2017'!$A$4:$A$14,'2017'!$J$4:$J$14)</f>
        <v>9.9497230604743354</v>
      </c>
      <c r="L12" s="90">
        <f>LOOKUP($A12,'2018'!$A$4:$A$14,'2018'!$J$4:$J$14)</f>
        <v>8.7302562814105489</v>
      </c>
    </row>
    <row r="13" spans="1:12" ht="15" thickBot="1" x14ac:dyDescent="0.4">
      <c r="A13" s="21" t="s">
        <v>45</v>
      </c>
      <c r="B13" s="89">
        <f>LOOKUP($A13,Tabla1[[#All],[Columna1]],Tabla1[[#All],[Columna10]])</f>
        <v>15.048722885815591</v>
      </c>
      <c r="C13" s="90">
        <f>LOOKUP($A13,'2009'!$A$4:$A$14,'2009'!$J$4:$J$14)</f>
        <v>10.757872252439022</v>
      </c>
      <c r="D13" s="90">
        <f>LOOKUP($A13,'2010'!$A$4:$A$14,'2010'!$J$4:$J$14)</f>
        <v>10.18719403053082</v>
      </c>
      <c r="E13" s="90">
        <f>LOOKUP($A13,'2011'!$A$4:$A$14,'2011'!$J$4:$J$14)</f>
        <v>8.5366896845168299</v>
      </c>
      <c r="F13" s="90">
        <f>LOOKUP($A13,'2012'!$A$4:$A$14,'2012'!$J$4:$J$14)</f>
        <v>6.6635470091224649</v>
      </c>
      <c r="G13" s="90">
        <f>LOOKUP($A13,'2013'!$A$4:$A$14,'2013'!$J$4:$J$14)</f>
        <v>3.6007596175860948</v>
      </c>
      <c r="H13" s="90">
        <f>LOOKUP($A13,'2014'!$A$4:$A$14,'2014'!$J$4:$J$14)</f>
        <v>3.3317735045612324</v>
      </c>
      <c r="I13" s="115"/>
      <c r="J13" s="115"/>
      <c r="K13" s="115"/>
      <c r="L13" s="115"/>
    </row>
    <row r="14" spans="1:12" ht="15" thickBot="1" x14ac:dyDescent="0.4">
      <c r="A14" s="22" t="s">
        <v>38</v>
      </c>
      <c r="B14" s="89">
        <f>LOOKUP($A14,Tabla1[[#All],[Columna1]],Tabla1[[#All],[Columna10]])</f>
        <v>10.830289345535945</v>
      </c>
      <c r="C14" s="90">
        <f>LOOKUP($A14,'2009'!$A$4:$A$14,'2009'!$J$4:$J$14)</f>
        <v>11.949662284229884</v>
      </c>
      <c r="D14" s="90">
        <f>LOOKUP($A14,'2010'!$A$4:$A$14,'2010'!$J$4:$J$14)</f>
        <v>12.375952446095514</v>
      </c>
      <c r="E14" s="90">
        <f>LOOKUP($A14,'2011'!$A$4:$A$14,'2011'!$J$4:$J$14)</f>
        <v>14.690720294457053</v>
      </c>
      <c r="F14" s="90">
        <f>LOOKUP($A14,'2012'!$A$4:$A$14,'2012'!$J$4:$J$14)</f>
        <v>15.590197634811739</v>
      </c>
      <c r="G14" s="90">
        <f>LOOKUP($A14,'2013'!$A$4:$A$14,'2013'!$J$4:$J$14)</f>
        <v>15.178895193699534</v>
      </c>
      <c r="H14" s="90">
        <f>LOOKUP($A14,'2014'!$A$4:$A$14,'2014'!$J$4:$J$14)</f>
        <v>20.91811819086703</v>
      </c>
      <c r="I14" s="90">
        <f>LOOKUP($A14,'2015'!$A$4:$A$14,'2015'!$J$4:$J$14)</f>
        <v>18.537286036403167</v>
      </c>
      <c r="J14" s="90">
        <f>LOOKUP($A14,'2016'!$A$4:$A$14,'2016'!$J$4:$J$14)</f>
        <v>20.168077177639269</v>
      </c>
      <c r="K14" s="90">
        <f>LOOKUP($A14,'2017'!$A$4:$A$14,'2017'!$J$4:$J$14)</f>
        <v>15.436248071477124</v>
      </c>
      <c r="L14" s="90">
        <f>LOOKUP($A14,'2018'!$A$4:$A$14,'2018'!$J$4:$J$14)</f>
        <v>15.807729395891199</v>
      </c>
    </row>
    <row r="15" spans="1:12" ht="15" thickBot="1" x14ac:dyDescent="0.4">
      <c r="A15" s="22" t="s">
        <v>50</v>
      </c>
      <c r="B15" s="89">
        <f>LOOKUP($A15,Tabla1[[#All],[Columna1]],Tabla1[[#All],[Columna10]])</f>
        <v>0.36555555555555519</v>
      </c>
      <c r="C15" s="115"/>
      <c r="D15" s="115"/>
      <c r="E15" s="115"/>
      <c r="F15" s="115"/>
      <c r="G15" s="115"/>
      <c r="H15" s="115"/>
      <c r="I15" s="115"/>
      <c r="J15" s="115"/>
      <c r="K15" s="115"/>
      <c r="L15" s="115"/>
    </row>
    <row r="16" spans="1:12" ht="15" thickBot="1" x14ac:dyDescent="0.4">
      <c r="A16" s="23" t="s">
        <v>51</v>
      </c>
      <c r="B16" s="89">
        <f>LOOKUP($A16,Tabla1[[#All],[Columna1]],Tabla1[[#All],[Columna10]])</f>
        <v>2.9766666666666635</v>
      </c>
      <c r="C16" s="115"/>
      <c r="D16" s="115"/>
      <c r="E16" s="115"/>
      <c r="F16" s="115"/>
      <c r="G16" s="115"/>
      <c r="H16" s="115"/>
      <c r="I16" s="115"/>
      <c r="J16" s="115"/>
      <c r="K16" s="115"/>
      <c r="L16" s="115"/>
    </row>
    <row r="17" spans="1:12" x14ac:dyDescent="0.35">
      <c r="A17" s="2" t="s">
        <v>47</v>
      </c>
      <c r="B17" s="89">
        <f>LOOKUP($A17,Tabla1[[#All],[Columna1]],Tabla1[[#All],[Columna10]])</f>
        <v>2.112780697705162</v>
      </c>
      <c r="C17" s="115"/>
      <c r="D17" s="90">
        <f>LOOKUP($A17,'2010'!$A$4:$A$14,'2010'!$J$4:$J$14)</f>
        <v>1.0818777936211548</v>
      </c>
      <c r="E17" s="90">
        <f>LOOKUP($A17,'2011'!$A$4:$A$14,'2011'!$J$4:$J$14)</f>
        <v>2.3628650110956899</v>
      </c>
      <c r="F17" s="90">
        <f>LOOKUP($A17,'2012'!$A$4:$A$14,'2012'!$J$4:$J$14)</f>
        <v>1.573339732146525</v>
      </c>
      <c r="G17" s="115"/>
      <c r="H17" s="115"/>
      <c r="I17" s="115"/>
      <c r="J17" s="115"/>
      <c r="K17" s="115"/>
      <c r="L17" s="115"/>
    </row>
    <row r="18" spans="1:12" x14ac:dyDescent="0.35">
      <c r="A18" s="2" t="s">
        <v>52</v>
      </c>
      <c r="B18" s="89">
        <f>LOOKUP($A18,Tabla1[[#All],[Columna1]],Tabla1[[#All],[Columna10]])</f>
        <v>0.7042265608793945</v>
      </c>
      <c r="C18" s="115"/>
      <c r="D18" s="90">
        <f>LOOKUP($A18,'2010'!$A$4:$A$14,'2010'!$J$4:$J$14)</f>
        <v>1.0818777936211548</v>
      </c>
      <c r="E18" s="90">
        <f>LOOKUP($A18,'2011'!$A$4:$A$14,'2011'!$J$4:$J$14)</f>
        <v>2.3628650110956899</v>
      </c>
      <c r="F18" s="90">
        <f>LOOKUP($A18,'2012'!$A$4:$A$14,'2012'!$J$4:$J$14)</f>
        <v>1.573339732146525</v>
      </c>
      <c r="G18" s="115"/>
      <c r="H18" s="115"/>
      <c r="I18" s="115"/>
      <c r="J18" s="115"/>
      <c r="K18" s="115"/>
      <c r="L18" s="115"/>
    </row>
    <row r="19" spans="1:12" x14ac:dyDescent="0.35">
      <c r="A19" s="2" t="s">
        <v>48</v>
      </c>
      <c r="B19" s="89">
        <f>LOOKUP($A19,Tabla1[[#All],[Columna1]],Tabla1[[#All],[Columna10]])</f>
        <v>14.188674243446412</v>
      </c>
      <c r="C19" s="90">
        <f>LOOKUP($A19,'2009'!$A$4:$A$14,'2009'!$J$4:$J$14)</f>
        <v>14.188674243446423</v>
      </c>
      <c r="D19" s="90">
        <f>LOOKUP($A19,'2010'!$A$4:$A$14,'2010'!$J$4:$J$14)</f>
        <v>14.188674243446423</v>
      </c>
      <c r="E19" s="90">
        <f>LOOKUP($A19,'2011'!$A$4:$A$14,'2011'!$J$4:$J$14)</f>
        <v>7.0943371217232114</v>
      </c>
      <c r="F19" s="90">
        <f>LOOKUP($A19,'2012'!$A$4:$A$14,'2012'!$J$4:$J$14)</f>
        <v>1.573339732146525</v>
      </c>
      <c r="G19" s="115"/>
      <c r="H19" s="115"/>
      <c r="I19" s="115"/>
      <c r="J19" s="115"/>
      <c r="K19" s="115"/>
      <c r="L19" s="115"/>
    </row>
    <row r="20" spans="1:12" x14ac:dyDescent="0.35">
      <c r="A20" s="2" t="s">
        <v>39</v>
      </c>
      <c r="B20" s="89">
        <f>LOOKUP($A20,Tabla1[[#All],[Columna1]],Tabla1[[#All],[Columna10]])</f>
        <v>7.8133399293736563</v>
      </c>
      <c r="C20" s="90">
        <f>LOOKUP($A20,'2009'!$A$4:$A$14,'2009'!$J$4:$J$14)</f>
        <v>6.4695164813905066</v>
      </c>
      <c r="D20" s="90">
        <f>LOOKUP($A20,'2010'!$A$4:$A$14,'2010'!$J$4:$J$14)</f>
        <v>6.3802168128890653</v>
      </c>
      <c r="E20" s="90">
        <f>LOOKUP($A20,'2011'!$A$4:$A$14,'2011'!$J$4:$J$14)</f>
        <v>5.3959357784499415</v>
      </c>
      <c r="F20" s="90">
        <f>LOOKUP($A20,'2012'!$A$4:$A$14,'2012'!$J$4:$J$14)</f>
        <v>9.4741459839964115</v>
      </c>
      <c r="G20" s="90">
        <f>LOOKUP($A20,'2013'!$A$4:$A$14,'2013'!$J$4:$J$14)</f>
        <v>5.6920364981451588</v>
      </c>
      <c r="H20" s="90">
        <f>LOOKUP($A20,'2014'!$A$4:$A$14,'2014'!$J$4:$J$14)</f>
        <v>6.8599277431744001</v>
      </c>
      <c r="I20" s="90">
        <f>LOOKUP($A20,'2015'!$A$4:$A$14,'2015'!$J$4:$J$14)</f>
        <v>8.4647490972621249</v>
      </c>
      <c r="J20" s="115"/>
      <c r="K20" s="90">
        <f>LOOKUP($A20,'2017'!$A$4:$A$14,'2017'!$J$4:$J$14)</f>
        <v>10.405842639256027</v>
      </c>
      <c r="L20" s="90">
        <f>LOOKUP($A20,'2018'!$A$4:$A$14,'2018'!$J$4:$J$14)</f>
        <v>2.8681397097531165</v>
      </c>
    </row>
    <row r="21" spans="1:12" x14ac:dyDescent="0.35">
      <c r="A21" s="2" t="s">
        <v>44</v>
      </c>
      <c r="B21" s="89">
        <f>LOOKUP($A21,Tabla1[[#All],[Columna1]],Tabla1[[#All],[Columna10]])</f>
        <v>3.3369999999999527</v>
      </c>
      <c r="C21" s="90">
        <f>LOOKUP($A21,'2009'!$A$4:$A$14,'2009'!$J$4:$J$14)</f>
        <v>3.615701754385908</v>
      </c>
      <c r="D21" s="90">
        <f>LOOKUP($A21,'2010'!$A$4:$A$14,'2010'!$J$4:$J$14)</f>
        <v>3.5994166666666074</v>
      </c>
      <c r="E21" s="90">
        <f>LOOKUP($A21,'2011'!$A$4:$A$14,'2011'!$J$4:$J$14)</f>
        <v>3.3918333333332806</v>
      </c>
      <c r="F21" s="90">
        <f>LOOKUP($A21,'2012'!$A$4:$A$14,'2012'!$J$4:$J$14)</f>
        <v>3.3369999999999487</v>
      </c>
      <c r="G21" s="90">
        <f>LOOKUP($A21,'2013'!$A$4:$A$14,'2013'!$J$4:$J$14)</f>
        <v>3.1646666666666206</v>
      </c>
      <c r="H21" s="90">
        <f>LOOKUP($A21,'2014'!$A$4:$A$14,'2014'!$J$4:$J$14)</f>
        <v>3.1294166666666206</v>
      </c>
      <c r="I21" s="90">
        <f>LOOKUP($A21,'2015'!$A$4:$A$14,'2015'!$J$4:$J$14)</f>
        <v>3.1942592592592165</v>
      </c>
      <c r="J21" s="90">
        <f>LOOKUP($A21,'2016'!$A$4:$A$14,'2016'!$J$4:$J$14)</f>
        <v>3.399666666666628</v>
      </c>
      <c r="K21" s="90">
        <f>LOOKUP($A21,'2017'!$A$4:$A$14,'2017'!$J$4:$J$14)</f>
        <v>10.405842639256027</v>
      </c>
      <c r="L21" s="115"/>
    </row>
    <row r="22" spans="1:12" x14ac:dyDescent="0.35">
      <c r="A22" s="2" t="s">
        <v>46</v>
      </c>
      <c r="B22" s="89">
        <f>LOOKUP($A22,Tabla1[[#All],[Columna1]],Tabla1[[#All],[Columna10]])</f>
        <v>4.4649999999999954</v>
      </c>
      <c r="C22" s="90">
        <f>LOOKUP($A22,'2009'!$A$4:$A$14,'2009'!$J$4:$J$14)</f>
        <v>4.3866666666666694</v>
      </c>
      <c r="D22" s="90">
        <f>LOOKUP($A22,'2010'!$A$4:$A$14,'2010'!$J$4:$J$14)</f>
        <v>4.3866666666666694</v>
      </c>
      <c r="E22" s="90">
        <f>LOOKUP($A22,'2011'!$A$4:$A$14,'2011'!$J$4:$J$14)</f>
        <v>4.3866666666666694</v>
      </c>
      <c r="F22" s="90">
        <f>LOOKUP($A22,'2012'!$A$4:$A$14,'2012'!$J$4:$J$14)</f>
        <v>3.3369999999999487</v>
      </c>
      <c r="G22" s="90">
        <f>LOOKUP($A22,'2013'!$A$4:$A$14,'2013'!$J$4:$J$14)</f>
        <v>0.36555555555555574</v>
      </c>
      <c r="H22" s="90">
        <f>LOOKUP($A22,'2014'!$A$4:$A$14,'2014'!$J$4:$J$14)</f>
        <v>1.9975000000000012</v>
      </c>
      <c r="I22" s="115"/>
      <c r="J22" s="115"/>
      <c r="K22" s="115"/>
      <c r="L22" s="115"/>
    </row>
    <row r="23" spans="1:12" x14ac:dyDescent="0.35">
      <c r="A23" s="2" t="s">
        <v>43</v>
      </c>
      <c r="B23" s="116"/>
      <c r="C23" s="115"/>
      <c r="D23" s="115"/>
      <c r="E23" s="115"/>
      <c r="F23" s="90">
        <f>LOOKUP($A23,'2012'!$A$4:$A$14,'2012'!$J$4:$J$14)</f>
        <v>2.1933333333333347</v>
      </c>
      <c r="G23" s="90">
        <f>LOOKUP($A23,'2013'!$A$4:$A$14,'2013'!$J$4:$J$14)</f>
        <v>2.1933333333333347</v>
      </c>
      <c r="H23" s="90">
        <f>LOOKUP($A23,'2014'!$A$4:$A$14,'2014'!$J$4:$J$14)</f>
        <v>20.91811819086703</v>
      </c>
      <c r="I23" s="90">
        <f>LOOKUP($A23,'2015'!$A$4:$A$14,'2015'!$J$4:$J$14)</f>
        <v>2.8591666666666571</v>
      </c>
      <c r="J23" s="90">
        <f>LOOKUP($A23,'2016'!$A$4:$A$14,'2016'!$J$4:$J$14)</f>
        <v>2.8356666666666563</v>
      </c>
      <c r="K23" s="90">
        <f>LOOKUP($A23,'2017'!$A$4:$A$14,'2017'!$J$4:$J$14)</f>
        <v>3.303055555555543</v>
      </c>
      <c r="L23" s="90">
        <f>LOOKUP($A23,'2018'!$A$4:$A$14,'2018'!$J$4:$J$14)</f>
        <v>2.32388888888888</v>
      </c>
    </row>
    <row r="24" spans="1:12" x14ac:dyDescent="0.35">
      <c r="A24" s="2" t="s">
        <v>49</v>
      </c>
      <c r="B24" s="116"/>
      <c r="C24" s="115"/>
      <c r="D24" s="115"/>
      <c r="E24" s="115"/>
      <c r="F24" s="115"/>
      <c r="G24" s="115"/>
      <c r="H24" s="115"/>
      <c r="I24" s="115"/>
      <c r="J24" s="90">
        <f>LOOKUP($A24,'2016'!$A$4:$A$14,'2016'!$J$4:$J$14)</f>
        <v>16.101748450476926</v>
      </c>
      <c r="K24" s="90">
        <f>LOOKUP($A24,'2017'!$A$4:$A$14,'2017'!$J$4:$J$14)</f>
        <v>19.418554936396514</v>
      </c>
      <c r="L24" s="90">
        <f>LOOKUP($A24,'2018'!$A$4:$A$14,'2018'!$J$4:$J$14)</f>
        <v>17.187845601730526</v>
      </c>
    </row>
    <row r="25" spans="1:12" x14ac:dyDescent="0.35">
      <c r="A25" s="2" t="s">
        <v>41</v>
      </c>
      <c r="B25" s="116"/>
      <c r="C25" s="115"/>
      <c r="D25" s="115"/>
      <c r="E25" s="115"/>
      <c r="F25" s="115"/>
      <c r="G25" s="115"/>
      <c r="H25" s="115"/>
      <c r="I25" s="115"/>
      <c r="J25" s="115"/>
      <c r="K25" s="90">
        <f>LOOKUP($A25,'2017'!$A$4:$A$14,'2017'!$J$4:$J$14)</f>
        <v>3.182291666666675</v>
      </c>
      <c r="L25" s="90">
        <f>LOOKUP($A25,'2018'!$A$4:$A$14,'2018'!$J$4:$J$14)</f>
        <v>2.6633333333333367</v>
      </c>
    </row>
    <row r="26" spans="1:12" x14ac:dyDescent="0.35">
      <c r="A26" s="2" t="s">
        <v>42</v>
      </c>
      <c r="B26" s="116"/>
      <c r="C26" s="115"/>
      <c r="D26" s="115"/>
      <c r="E26" s="115"/>
      <c r="F26" s="115"/>
      <c r="G26" s="115"/>
      <c r="H26" s="115"/>
      <c r="I26" s="115"/>
      <c r="J26" s="115"/>
      <c r="K26" s="90">
        <f>LOOKUP($A26,'2017'!$A$4:$A$14,'2017'!$J$4:$J$14)</f>
        <v>1.1750000000000003</v>
      </c>
      <c r="L26" s="90">
        <f>LOOKUP($A26,'2018'!$A$4:$A$14,'2018'!$J$4:$J$14)</f>
        <v>2.1993589743589781</v>
      </c>
    </row>
    <row r="27" spans="1:12" x14ac:dyDescent="0.35">
      <c r="A27" s="2" t="s">
        <v>37</v>
      </c>
      <c r="B27" s="116"/>
      <c r="C27" s="90">
        <f>LOOKUP($A27,'2009'!$A$4:$A$14,'2009'!$J$4:$J$14)</f>
        <v>9.2619572085051356</v>
      </c>
      <c r="D27" s="90">
        <f>LOOKUP($A27,'2010'!$A$4:$A$14,'2010'!$J$4:$J$14)</f>
        <v>11.696875705389926</v>
      </c>
      <c r="E27" s="90">
        <f>LOOKUP($A27,'2011'!$A$4:$A$14,'2011'!$J$4:$J$14)</f>
        <v>14.605063980624486</v>
      </c>
      <c r="F27" s="90">
        <f>LOOKUP($A27,'2012'!$A$4:$A$14,'2012'!$J$4:$J$14)</f>
        <v>15.483389194140102</v>
      </c>
      <c r="G27" s="90">
        <f>LOOKUP($A27,'2013'!$A$4:$A$14,'2013'!$J$4:$J$14)</f>
        <v>13.539818915223449</v>
      </c>
      <c r="H27" s="90">
        <f>LOOKUP($A27,'2014'!$A$4:$A$14,'2014'!$J$4:$J$14)</f>
        <v>17.348501390855748</v>
      </c>
      <c r="I27" s="90">
        <f>LOOKUP($A27,'2015'!$A$4:$A$14,'2015'!$J$4:$J$14)</f>
        <v>16.615992670669954</v>
      </c>
      <c r="J27" s="90">
        <f>LOOKUP($A27,'2016'!$A$4:$A$14,'2016'!$J$4:$J$14)</f>
        <v>17.892018476721184</v>
      </c>
      <c r="K27" s="90">
        <f>LOOKUP($A27,'2017'!$A$4:$A$14,'2017'!$J$4:$J$14)</f>
        <v>17.575028103364211</v>
      </c>
      <c r="L27" s="90">
        <f>LOOKUP($A27,'2018'!$A$4:$A$14,'2018'!$J$4:$J$14)</f>
        <v>14.32513812696733</v>
      </c>
    </row>
    <row r="28" spans="1:12" x14ac:dyDescent="0.35">
      <c r="A28" s="2" t="s">
        <v>40</v>
      </c>
      <c r="B28" s="116"/>
      <c r="C28" s="115"/>
      <c r="D28" s="115"/>
      <c r="E28" s="115"/>
      <c r="F28" s="115"/>
      <c r="G28" s="115"/>
      <c r="H28" s="115"/>
      <c r="I28" s="90">
        <f>LOOKUP($A28,'2015'!$A$4:$A$14,'2015'!$J$4:$J$14)</f>
        <v>8.0272553005174814</v>
      </c>
      <c r="J28" s="90">
        <f>LOOKUP($A28,'2016'!$A$4:$A$14,'2016'!$J$4:$J$14)</f>
        <v>5.2610513631495754</v>
      </c>
      <c r="K28" s="90">
        <f>LOOKUP($A28,'2017'!$A$4:$A$14,'2017'!$J$4:$J$14)</f>
        <v>4.6638339418483454</v>
      </c>
      <c r="L28" s="90">
        <f>LOOKUP($A28,'2018'!$A$4:$A$14,'2018'!$J$4:$J$14)</f>
        <v>7.817748883585228</v>
      </c>
    </row>
  </sheetData>
  <mergeCells count="2">
    <mergeCell ref="B1:L1"/>
    <mergeCell ref="B8:L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zoomScale="70" zoomScaleNormal="70" workbookViewId="0">
      <selection activeCell="A12" sqref="A12"/>
    </sheetView>
  </sheetViews>
  <sheetFormatPr baseColWidth="10" defaultColWidth="11.453125" defaultRowHeight="14.5" x14ac:dyDescent="0.35"/>
  <cols>
    <col min="1" max="1" width="27.7265625" style="2" customWidth="1"/>
    <col min="2" max="2" width="11" style="2" customWidth="1"/>
    <col min="3" max="3" width="12"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11" ht="15.5" thickTop="1" thickBot="1" x14ac:dyDescent="0.4">
      <c r="A1" s="24" t="s">
        <v>8</v>
      </c>
      <c r="B1" s="30">
        <v>80.3</v>
      </c>
      <c r="C1" s="48"/>
      <c r="D1" s="41"/>
      <c r="E1" s="41"/>
      <c r="F1" s="41"/>
      <c r="G1" s="41"/>
      <c r="H1" s="41"/>
      <c r="I1" s="41"/>
      <c r="J1" s="41"/>
      <c r="K1" s="41"/>
    </row>
    <row r="2" spans="1:11" ht="15.5" thickTop="1" thickBot="1" x14ac:dyDescent="0.4">
      <c r="A2" s="41"/>
      <c r="B2" s="41"/>
      <c r="C2" s="41"/>
      <c r="D2" s="41"/>
      <c r="E2" s="41"/>
      <c r="F2" s="41"/>
      <c r="G2" s="41"/>
      <c r="H2" s="41"/>
      <c r="I2" s="41"/>
      <c r="J2" s="41"/>
      <c r="K2" s="41"/>
    </row>
    <row r="3" spans="1:11" ht="15.5" thickTop="1" thickBot="1" x14ac:dyDescent="0.4">
      <c r="A3" s="50" t="s">
        <v>2</v>
      </c>
      <c r="B3" s="50" t="s">
        <v>12</v>
      </c>
      <c r="C3" s="50" t="s">
        <v>0</v>
      </c>
      <c r="D3" s="50" t="s">
        <v>13</v>
      </c>
      <c r="E3" s="50" t="s">
        <v>9</v>
      </c>
      <c r="F3" s="50" t="s">
        <v>10</v>
      </c>
      <c r="G3" s="50" t="s">
        <v>1</v>
      </c>
      <c r="H3" s="50" t="s">
        <v>11</v>
      </c>
      <c r="I3" s="50" t="s">
        <v>15</v>
      </c>
      <c r="J3" s="50" t="s">
        <v>16</v>
      </c>
      <c r="K3" s="41"/>
    </row>
    <row r="4" spans="1:11" ht="15" thickBot="1" x14ac:dyDescent="0.4">
      <c r="A4" s="42" t="s">
        <v>34</v>
      </c>
      <c r="B4" s="15">
        <v>7</v>
      </c>
      <c r="C4" s="3">
        <v>156</v>
      </c>
      <c r="D4" s="3">
        <v>301</v>
      </c>
      <c r="E4" s="89">
        <v>767.73542725928621</v>
      </c>
      <c r="F4" s="90">
        <v>3025.4760911266271</v>
      </c>
      <c r="G4" s="122">
        <f>Tabla1[[#This Row],[Columna6]]*100/(Tabla1[[#This Row],[Columna3]]*Tabla1[[#This Row],[Columna5]]*$B$1)</f>
        <v>3.1458788960421619E-2</v>
      </c>
      <c r="H4" s="89">
        <f>24*0.0644978290272986</f>
        <v>1.5479478966551663</v>
      </c>
      <c r="I4" s="89">
        <f>Tabla1[[#This Row],[Columna4]]*Tabla1[[#This Row],[Columna8]]</f>
        <v>465.93231689320504</v>
      </c>
      <c r="J4" s="89">
        <f>Tabla1[[#This Row],[Columna9]]/(7*Tabla1[[#This Row],[Columna2]])</f>
        <v>9.5088227937388776</v>
      </c>
      <c r="K4" s="41"/>
    </row>
    <row r="5" spans="1:11" ht="15" thickBot="1" x14ac:dyDescent="0.4">
      <c r="A5" s="43" t="s">
        <v>35</v>
      </c>
      <c r="B5" s="15">
        <v>26</v>
      </c>
      <c r="C5" s="3">
        <v>124</v>
      </c>
      <c r="D5" s="4">
        <v>695</v>
      </c>
      <c r="E5" s="89">
        <v>940.65997340332035</v>
      </c>
      <c r="F5" s="89">
        <v>3734.6822214145145</v>
      </c>
      <c r="G5" s="122">
        <f>Tabla1[[#This Row],[Columna6]]*100/(Tabla1[[#This Row],[Columna3]]*Tabla1[[#This Row],[Columna5]]*$B$1)</f>
        <v>3.9873444973136649E-2</v>
      </c>
      <c r="H5" s="89">
        <f>24*0.0730965192961588</f>
        <v>1.7543164631078114</v>
      </c>
      <c r="I5" s="89">
        <f>Tabla1[[#This Row],[Columna4]]*Tabla1[[#This Row],[Columna8]]</f>
        <v>1219.2499418599289</v>
      </c>
      <c r="J5" s="89">
        <f>Tabla1[[#This Row],[Columna9]]/(7*Tabla1[[#This Row],[Columna2]])</f>
        <v>6.6991755047248835</v>
      </c>
      <c r="K5" s="41"/>
    </row>
    <row r="6" spans="1:11" ht="15" thickBot="1" x14ac:dyDescent="0.4">
      <c r="A6" s="44" t="s">
        <v>36</v>
      </c>
      <c r="B6" s="16">
        <v>6</v>
      </c>
      <c r="C6" s="6">
        <v>124</v>
      </c>
      <c r="D6" s="7">
        <v>221</v>
      </c>
      <c r="E6" s="92">
        <v>1124.0845916027954</v>
      </c>
      <c r="F6" s="92">
        <v>5270.5506253867024</v>
      </c>
      <c r="G6" s="131">
        <f>Tabla1[[#This Row],[Columna6]]*100/(Tabla1[[#This Row],[Columna3]]*Tabla1[[#This Row],[Columna5]]*$B$1)</f>
        <v>4.708903213033467E-2</v>
      </c>
      <c r="H6" s="92">
        <f>24*0.0825115117040685</f>
        <v>1.9802762808976437</v>
      </c>
      <c r="I6" s="92">
        <f>Tabla1[[#This Row],[Columna4]]*Tabla1[[#This Row],[Columna8]]</f>
        <v>437.64105807837927</v>
      </c>
      <c r="J6" s="92">
        <f>Tabla1[[#This Row],[Columna9]]/(7*Tabla1[[#This Row],[Columna2]])</f>
        <v>10.420025192342363</v>
      </c>
      <c r="K6" s="41"/>
    </row>
    <row r="7" spans="1:11" ht="15" thickBot="1" x14ac:dyDescent="0.4">
      <c r="A7" s="44" t="s">
        <v>45</v>
      </c>
      <c r="B7" s="16">
        <v>11</v>
      </c>
      <c r="C7" s="6">
        <v>278</v>
      </c>
      <c r="D7" s="7">
        <v>156</v>
      </c>
      <c r="E7" s="92">
        <v>5902.8512506994712</v>
      </c>
      <c r="F7" s="92">
        <v>39023.925116961494</v>
      </c>
      <c r="G7" s="131">
        <f>Tabla1[[#This Row],[Columna6]]*100/(Tabla1[[#This Row],[Columna3]]*Tabla1[[#This Row],[Columna5]]*$B$1)</f>
        <v>2.9614797616650278E-2</v>
      </c>
      <c r="H7" s="92">
        <f>24*0.309495636273451</f>
        <v>7.4278952705628241</v>
      </c>
      <c r="I7" s="92">
        <f>Tabla1[[#This Row],[Columna4]]*Tabla1[[#This Row],[Columna8]]</f>
        <v>1158.7516622078006</v>
      </c>
      <c r="J7" s="92">
        <f>Tabla1[[#This Row],[Columna9]]/(7*Tabla1[[#This Row],[Columna2]])</f>
        <v>15.048722885815591</v>
      </c>
      <c r="K7" s="41"/>
    </row>
    <row r="8" spans="1:11" ht="15" thickBot="1" x14ac:dyDescent="0.4">
      <c r="A8" s="45" t="s">
        <v>38</v>
      </c>
      <c r="B8" s="17">
        <v>18</v>
      </c>
      <c r="C8" s="9">
        <v>275</v>
      </c>
      <c r="D8" s="9">
        <v>144</v>
      </c>
      <c r="E8" s="95">
        <v>7503.5329599999995</v>
      </c>
      <c r="F8" s="93">
        <v>60483.707607940203</v>
      </c>
      <c r="G8" s="132">
        <f>Tabla1[[#This Row],[Columna6]]*100/(Tabla1[[#This Row],[Columna3]]*Tabla1[[#This Row],[Columna5]]*$B$1)</f>
        <v>3.6502648092037356E-2</v>
      </c>
      <c r="H8" s="93">
        <f>24*0.394854299055998</f>
        <v>9.4765031773439521</v>
      </c>
      <c r="I8" s="93">
        <f>Tabla1[[#This Row],[Columna4]]*Tabla1[[#This Row],[Columna8]]</f>
        <v>1364.6164575375292</v>
      </c>
      <c r="J8" s="93">
        <f>Tabla1[[#This Row],[Columna9]]/(7*Tabla1[[#This Row],[Columna2]])</f>
        <v>10.830289345535945</v>
      </c>
      <c r="K8" s="41"/>
    </row>
    <row r="9" spans="1:11" x14ac:dyDescent="0.35">
      <c r="A9" s="41" t="s">
        <v>50</v>
      </c>
      <c r="B9" s="17">
        <v>3</v>
      </c>
      <c r="C9" s="9">
        <v>100</v>
      </c>
      <c r="D9" s="9">
        <v>14</v>
      </c>
      <c r="E9" s="93">
        <v>617.71119970953748</v>
      </c>
      <c r="F9" s="94">
        <v>570.04079999999999</v>
      </c>
      <c r="G9" s="132">
        <f>Tabla1[[#This Row],[Columna6]]*100/(Tabla1[[#This Row],[Columna3]]*Tabla1[[#This Row],[Columna5]]*$B$1)</f>
        <v>1.1492246164497195E-2</v>
      </c>
      <c r="H9" s="93">
        <f>24*0.0228472222222222</f>
        <v>0.54833333333333278</v>
      </c>
      <c r="I9" s="93">
        <f>Tabla1[[#This Row],[Columna4]]*Tabla1[[#This Row],[Columna8]]</f>
        <v>7.6766666666666588</v>
      </c>
      <c r="J9" s="93">
        <f>Tabla1[[#This Row],[Columna9]]/(7*Tabla1[[#This Row],[Columna2]])</f>
        <v>0.36555555555555519</v>
      </c>
      <c r="K9" s="41"/>
    </row>
    <row r="10" spans="1:11" x14ac:dyDescent="0.35">
      <c r="A10" s="137" t="s">
        <v>51</v>
      </c>
      <c r="B10" s="138">
        <v>1</v>
      </c>
      <c r="C10" s="139">
        <v>82</v>
      </c>
      <c r="D10" s="139">
        <v>38</v>
      </c>
      <c r="E10" s="140">
        <v>531.89819925862844</v>
      </c>
      <c r="F10" s="141">
        <v>570.04079999999999</v>
      </c>
      <c r="G10" s="142">
        <f>Tabla1[[#This Row],[Columna6]]*100/(Tabla1[[#This Row],[Columna3]]*Tabla1[[#This Row],[Columna5]]*$B$1)</f>
        <v>1.6276012818562086E-2</v>
      </c>
      <c r="H10" s="140">
        <f>24*0.0228472222222222</f>
        <v>0.54833333333333278</v>
      </c>
      <c r="I10" s="141">
        <f>Tabla1[[#This Row],[Columna4]]*Tabla1[[#This Row],[Columna8]]</f>
        <v>20.836666666666645</v>
      </c>
      <c r="J10" s="140">
        <f>Tabla1[[#This Row],[Columna9]]/(7*Tabla1[[#This Row],[Columna2]])</f>
        <v>2.9766666666666635</v>
      </c>
      <c r="K10" s="41"/>
    </row>
    <row r="11" spans="1:11" x14ac:dyDescent="0.35">
      <c r="A11" s="143" t="s">
        <v>47</v>
      </c>
      <c r="B11" s="144">
        <v>1</v>
      </c>
      <c r="C11" s="144">
        <v>144</v>
      </c>
      <c r="D11" s="144">
        <v>11</v>
      </c>
      <c r="E11" s="94">
        <v>575.14715513675571</v>
      </c>
      <c r="F11" s="145">
        <v>2781.2002031330162</v>
      </c>
      <c r="G11" s="146">
        <f>Tabla1[[#This Row],[Columna6]]*100/(Tabla1[[#This Row],[Columna3]]*Tabla1[[#This Row],[Columna5]]*$B$1)</f>
        <v>4.1819153641683898E-2</v>
      </c>
      <c r="H11" s="145">
        <f>24*0.0560207003179399</f>
        <v>1.3444968076305577</v>
      </c>
      <c r="I11" s="145">
        <f>Tabla1[[#This Row],[Columna4]]*Tabla1[[#This Row],[Columna8]]</f>
        <v>14.789464883936134</v>
      </c>
      <c r="J11" s="145">
        <f>Tabla1[[#This Row],[Columna9]]/(7*Tabla1[[#This Row],[Columna2]])</f>
        <v>2.112780697705162</v>
      </c>
      <c r="K11" s="41"/>
    </row>
    <row r="12" spans="1:11" ht="16.5" customHeight="1" x14ac:dyDescent="0.35">
      <c r="A12" s="144" t="s">
        <v>52</v>
      </c>
      <c r="B12" s="144">
        <v>1</v>
      </c>
      <c r="C12" s="144">
        <v>168</v>
      </c>
      <c r="D12" s="144">
        <v>6</v>
      </c>
      <c r="E12" s="145">
        <v>145.01859344112947</v>
      </c>
      <c r="F12" s="145">
        <v>1421.6895294394033</v>
      </c>
      <c r="G12" s="146">
        <f>Tabla1[[#This Row],[Columna6]]*100/(Tabla1[[#This Row],[Columna3]]*Tabla1[[#This Row],[Columna5]]*$B$1)</f>
        <v>7.2670182253307014E-2</v>
      </c>
      <c r="H12" s="145">
        <f>24*0.0342332355983039</f>
        <v>0.82159765435929355</v>
      </c>
      <c r="I12" s="145">
        <f>Tabla1[[#This Row],[Columna4]]*Tabla1[[#This Row],[Columna8]]</f>
        <v>4.9295859261557613</v>
      </c>
      <c r="J12" s="145">
        <f>Tabla1[[#This Row],[Columna9]]/(7*Tabla1[[#This Row],[Columna2]])</f>
        <v>0.7042265608793945</v>
      </c>
      <c r="K12" s="41"/>
    </row>
    <row r="13" spans="1:11" x14ac:dyDescent="0.35">
      <c r="A13" s="147" t="s">
        <v>48</v>
      </c>
      <c r="B13" s="144">
        <v>1</v>
      </c>
      <c r="C13" s="144">
        <v>162</v>
      </c>
      <c r="D13" s="144">
        <v>12</v>
      </c>
      <c r="E13" s="145">
        <v>6328.3019942328165</v>
      </c>
      <c r="F13" s="145">
        <v>19137.737350319429</v>
      </c>
      <c r="G13" s="146">
        <f>Tabla1[[#This Row],[Columna6]]*100/(Tabla1[[#This Row],[Columna3]]*Tabla1[[#This Row],[Columna5]]*$B$1)</f>
        <v>2.3247316807519569E-2</v>
      </c>
      <c r="H13" s="145">
        <f>24*0.344863610083767</f>
        <v>8.2767266420104075</v>
      </c>
      <c r="I13" s="145">
        <f>Tabla1[[#This Row],[Columna4]]*Tabla1[[#This Row],[Columna8]]</f>
        <v>99.320719704124883</v>
      </c>
      <c r="J13" s="145">
        <f>Tabla1[[#This Row],[Columna9]]/(7*Tabla1[[#This Row],[Columna2]])</f>
        <v>14.188674243446412</v>
      </c>
      <c r="K13" s="41"/>
    </row>
    <row r="14" spans="1:11" x14ac:dyDescent="0.35">
      <c r="A14" s="144" t="s">
        <v>39</v>
      </c>
      <c r="B14" s="148">
        <v>6</v>
      </c>
      <c r="C14" s="148">
        <v>92</v>
      </c>
      <c r="D14" s="148">
        <v>204</v>
      </c>
      <c r="E14" s="145">
        <v>744.75447932083694</v>
      </c>
      <c r="F14" s="145">
        <v>2698.250571836521</v>
      </c>
      <c r="G14" s="146">
        <f>Tabla1[[#This Row],[Columna6]]*100/(Tabla1[[#This Row],[Columna3]]*Tabla1[[#This Row],[Columna5]]*$B$1)</f>
        <v>4.9041729910127028E-2</v>
      </c>
      <c r="H14" s="145">
        <f>24*0.0670262003745289</f>
        <v>1.6086288089886938</v>
      </c>
      <c r="I14" s="145">
        <f>Tabla1[[#This Row],[Columna4]]*Tabla1[[#This Row],[Columna8]]</f>
        <v>328.16027703369355</v>
      </c>
      <c r="J14" s="145">
        <f>Tabla1[[#This Row],[Columna9]]/(7*Tabla1[[#This Row],[Columna2]])</f>
        <v>7.8133399293736563</v>
      </c>
      <c r="K14" s="41"/>
    </row>
    <row r="15" spans="1:11" x14ac:dyDescent="0.35">
      <c r="A15" s="144" t="s">
        <v>44</v>
      </c>
      <c r="B15" s="148">
        <v>20</v>
      </c>
      <c r="C15" s="148">
        <v>116</v>
      </c>
      <c r="D15" s="148">
        <v>852</v>
      </c>
      <c r="E15" s="145">
        <v>488.14947517617168</v>
      </c>
      <c r="F15" s="145">
        <v>570.04080000000511</v>
      </c>
      <c r="G15" s="146">
        <f>Tabla1[[#This Row],[Columna6]]*100/(Tabla1[[#This Row],[Columna3]]*Tabla1[[#This Row],[Columna5]]*$B$1)</f>
        <v>1.2536594527991069E-2</v>
      </c>
      <c r="H15" s="145">
        <f>24*0.0228472222222219</f>
        <v>0.54833333333332557</v>
      </c>
      <c r="I15" s="145">
        <f>Tabla1[[#This Row],[Columna4]]*Tabla1[[#This Row],[Columna8]]</f>
        <v>467.17999999999336</v>
      </c>
      <c r="J15" s="145">
        <f>Tabla1[[#This Row],[Columna9]]/(7*Tabla1[[#This Row],[Columna2]])</f>
        <v>3.3369999999999527</v>
      </c>
      <c r="K15" s="41"/>
    </row>
    <row r="16" spans="1:11" x14ac:dyDescent="0.35">
      <c r="A16" s="148" t="s">
        <v>46</v>
      </c>
      <c r="B16" s="148">
        <v>1</v>
      </c>
      <c r="C16" s="148">
        <v>34</v>
      </c>
      <c r="D16" s="148">
        <v>57</v>
      </c>
      <c r="E16" s="145">
        <v>164.60956614630601</v>
      </c>
      <c r="F16" s="145">
        <v>304.16040000000027</v>
      </c>
      <c r="G16" s="146">
        <f>Tabla1[[#This Row],[Columna6]]*100/(Tabla1[[#This Row],[Columna3]]*Tabla1[[#This Row],[Columna5]]*$B$1)</f>
        <v>6.7678876105131708E-2</v>
      </c>
      <c r="H16" s="145">
        <f>24*0.0228472222222222</f>
        <v>0.54833333333333278</v>
      </c>
      <c r="I16" s="145">
        <f>Tabla1[[#This Row],[Columna4]]*Tabla1[[#This Row],[Columna8]]</f>
        <v>31.254999999999967</v>
      </c>
      <c r="J16" s="145">
        <f>Tabla1[[#This Row],[Columna9]]/(7*Tabla1[[#This Row],[Columna2]])</f>
        <v>4.4649999999999954</v>
      </c>
      <c r="K16" s="41"/>
    </row>
    <row r="17" spans="1:11" x14ac:dyDescent="0.35">
      <c r="G17" s="120"/>
      <c r="K17" s="41"/>
    </row>
    <row r="18" spans="1:11" x14ac:dyDescent="0.35">
      <c r="A18" s="41"/>
      <c r="B18" s="41"/>
      <c r="C18" s="41"/>
      <c r="D18" s="41"/>
      <c r="E18" s="41"/>
      <c r="F18" s="41"/>
      <c r="G18" s="128"/>
      <c r="H18" s="41"/>
      <c r="I18" s="41"/>
      <c r="J18" s="41"/>
      <c r="K18" s="41"/>
    </row>
    <row r="19" spans="1:11" x14ac:dyDescent="0.35">
      <c r="A19" s="41"/>
      <c r="B19" s="41"/>
      <c r="C19" s="41"/>
      <c r="D19" s="41"/>
      <c r="E19" s="41"/>
      <c r="F19" s="41"/>
      <c r="G19" s="128"/>
      <c r="H19" s="41"/>
      <c r="I19" s="41"/>
      <c r="J19" s="41"/>
      <c r="K19" s="41"/>
    </row>
    <row r="20" spans="1:11" ht="15" thickBot="1" x14ac:dyDescent="0.4">
      <c r="G20" s="120"/>
    </row>
    <row r="21" spans="1:11" ht="30" thickTop="1" thickBot="1" x14ac:dyDescent="0.4">
      <c r="A21" s="24" t="s">
        <v>3</v>
      </c>
      <c r="B21" s="24" t="s">
        <v>12</v>
      </c>
      <c r="C21" s="29" t="s">
        <v>19</v>
      </c>
      <c r="D21" s="29" t="s">
        <v>14</v>
      </c>
      <c r="E21" s="24" t="s">
        <v>9</v>
      </c>
      <c r="F21" s="24" t="s">
        <v>10</v>
      </c>
      <c r="G21" s="123" t="s">
        <v>1</v>
      </c>
      <c r="H21" s="24" t="s">
        <v>11</v>
      </c>
      <c r="I21" s="29" t="s">
        <v>17</v>
      </c>
      <c r="J21" s="24" t="s">
        <v>18</v>
      </c>
    </row>
    <row r="22" spans="1:11" ht="15.5" thickTop="1" thickBot="1" x14ac:dyDescent="0.4">
      <c r="A22" s="28" t="s">
        <v>4</v>
      </c>
      <c r="B22" s="27">
        <f>B7+B8</f>
        <v>29</v>
      </c>
      <c r="C22" s="102">
        <f>($B7*C7+$B8*C8)/($B7+$B8)</f>
        <v>276.13793103448273</v>
      </c>
      <c r="D22" s="25">
        <f>(D7+D8)</f>
        <v>300</v>
      </c>
      <c r="E22" s="101">
        <f>($B7*E7+$B8*E8)/($B7+$B8)</f>
        <v>6896.3778288860058</v>
      </c>
      <c r="F22" s="101">
        <f>($B7*F7+$B8*F8)/($B7+$B8)</f>
        <v>52343.790111362068</v>
      </c>
      <c r="G22" s="129">
        <f t="shared" ref="G22:J22" si="0">($B7*G7+$B8*G8)/($B7+$B8)</f>
        <v>3.3890015153097426E-2</v>
      </c>
      <c r="H22" s="101">
        <f t="shared" si="0"/>
        <v>8.6994450058062824</v>
      </c>
      <c r="I22" s="101">
        <f>I7+I8</f>
        <v>2523.3681197453298</v>
      </c>
      <c r="J22" s="101">
        <f t="shared" si="0"/>
        <v>12.430384826331673</v>
      </c>
    </row>
    <row r="23" spans="1:11" ht="15" thickBot="1" x14ac:dyDescent="0.4">
      <c r="A23" s="21" t="s">
        <v>29</v>
      </c>
      <c r="B23" s="16">
        <f>B4+B5+B6+B11+B12+B13</f>
        <v>42</v>
      </c>
      <c r="C23" s="97">
        <f>($B4*C4+$B5*C5+$B6*C6+$B11*C11+$B12*C12+$B13*C13)/($B4+$B5+$B6+$B11+$B12+$B13)</f>
        <v>131.76190476190476</v>
      </c>
      <c r="D23" s="6">
        <f>(D4+D5+D6+D11+D12+$D13)</f>
        <v>1246</v>
      </c>
      <c r="E23" s="86">
        <f>($B4*E4+$B5*E5+$B6*E6+$B11*E11+$B12*E12+$B13*E13)/($B4+$B5+$B6+$B11+$B12+$B13)</f>
        <v>1038.6733950411622</v>
      </c>
      <c r="F23" s="86">
        <f t="shared" ref="F23:J23" si="1">($B4*F4+$B5*F5+$B6*F6+$B11*F11+$B12*F12+$B13*F13)/($B4+$B5+$B6+$B11+$B12+$B13)</f>
        <v>4124.8571721399012</v>
      </c>
      <c r="G23" s="125">
        <f t="shared" si="1"/>
        <v>3.9933141369262445E-2</v>
      </c>
      <c r="H23" s="86">
        <f t="shared" si="1"/>
        <v>1.8755319549232234</v>
      </c>
      <c r="I23" s="86">
        <f>(I4+I5+I6+I11+I12+I13)</f>
        <v>2241.8630873457296</v>
      </c>
      <c r="J23" s="86">
        <f t="shared" si="1"/>
        <v>7.6253846508358167</v>
      </c>
    </row>
    <row r="24" spans="1:11" ht="15" thickBot="1" x14ac:dyDescent="0.4">
      <c r="A24" s="22" t="s">
        <v>31</v>
      </c>
      <c r="B24" s="17">
        <f>B9+B10+B14+B15</f>
        <v>30</v>
      </c>
      <c r="C24" s="98">
        <f>($B9*C9+$B10*C10+$B14*C14+$B15*C15)/($B9+$B10+$B14+$B15)</f>
        <v>108.46666666666667</v>
      </c>
      <c r="D24" s="10">
        <f>(D9+D10+D14+D15)</f>
        <v>1108</v>
      </c>
      <c r="E24" s="87">
        <f t="shared" ref="E24:J24" si="2">($B9*E9+$B10*E10+$B14*E14+$B15*E15)/($B9+$B10+$B14+$B15)</f>
        <v>553.88493926118986</v>
      </c>
      <c r="F24" s="87">
        <f t="shared" si="2"/>
        <v>995.68275436730767</v>
      </c>
      <c r="G24" s="126">
        <f t="shared" si="2"/>
        <v>1.9857834044421242E-2</v>
      </c>
      <c r="H24" s="87">
        <f t="shared" si="2"/>
        <v>0.76039242846440014</v>
      </c>
      <c r="I24" s="87">
        <f>(I9+I10+I14+I15)</f>
        <v>823.85361036702022</v>
      </c>
      <c r="J24" s="87">
        <f t="shared" si="2"/>
        <v>3.923112430319144</v>
      </c>
    </row>
    <row r="25" spans="1:11" ht="15" thickBot="1" x14ac:dyDescent="0.4">
      <c r="A25" s="23" t="s">
        <v>30</v>
      </c>
      <c r="B25" s="18">
        <f>B16</f>
        <v>1</v>
      </c>
      <c r="C25" s="99">
        <f t="shared" ref="C25:J25" si="3">C16</f>
        <v>34</v>
      </c>
      <c r="D25" s="18">
        <f t="shared" si="3"/>
        <v>57</v>
      </c>
      <c r="E25" s="88">
        <f t="shared" si="3"/>
        <v>164.60956614630601</v>
      </c>
      <c r="F25" s="88">
        <f t="shared" si="3"/>
        <v>304.16040000000027</v>
      </c>
      <c r="G25" s="127">
        <f t="shared" si="3"/>
        <v>6.7678876105131708E-2</v>
      </c>
      <c r="H25" s="88">
        <f t="shared" si="3"/>
        <v>0.54833333333333278</v>
      </c>
      <c r="I25" s="88">
        <f t="shared" si="3"/>
        <v>31.254999999999967</v>
      </c>
      <c r="J25" s="88">
        <f t="shared" si="3"/>
        <v>4.4649999999999954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zoomScale="55" zoomScaleNormal="55" workbookViewId="0">
      <selection activeCell="A12" sqref="A12"/>
    </sheetView>
  </sheetViews>
  <sheetFormatPr baseColWidth="10" defaultColWidth="11.453125" defaultRowHeight="14.5" x14ac:dyDescent="0.35"/>
  <cols>
    <col min="1" max="1" width="27.7265625" style="2" customWidth="1"/>
    <col min="2" max="2" width="11" style="2" customWidth="1"/>
    <col min="3" max="3" width="12" style="2" customWidth="1"/>
    <col min="4" max="4" width="20.453125" style="2" customWidth="1"/>
    <col min="5" max="5" width="20.26953125" style="2" customWidth="1"/>
    <col min="6" max="6" width="22.453125" style="2" customWidth="1"/>
    <col min="7" max="7" width="24.453125" style="2" customWidth="1"/>
    <col min="8" max="8" width="17.7265625" style="2" customWidth="1"/>
    <col min="9" max="9" width="26.7265625" style="2" customWidth="1"/>
    <col min="10" max="10" width="18.54296875" style="2" customWidth="1"/>
    <col min="11" max="16384" width="11.453125" style="2"/>
  </cols>
  <sheetData>
    <row r="1" spans="1:23" ht="15.5" thickTop="1" thickBot="1" x14ac:dyDescent="0.4">
      <c r="A1" s="24" t="s">
        <v>8</v>
      </c>
      <c r="B1" s="30">
        <v>80.099999999999994</v>
      </c>
      <c r="C1" s="48"/>
      <c r="D1" s="41"/>
      <c r="E1" s="41"/>
      <c r="F1" s="41"/>
      <c r="G1" s="41"/>
      <c r="H1" s="41"/>
      <c r="I1" s="41"/>
      <c r="J1" s="41"/>
      <c r="K1" s="41"/>
    </row>
    <row r="2" spans="1:23" ht="15.5" thickTop="1" thickBot="1" x14ac:dyDescent="0.4">
      <c r="A2" s="41"/>
      <c r="B2" s="41"/>
      <c r="C2" s="41"/>
      <c r="D2" s="41"/>
      <c r="E2" s="41"/>
      <c r="F2" s="41"/>
      <c r="G2" s="41"/>
      <c r="H2" s="41"/>
      <c r="I2" s="41"/>
      <c r="J2" s="41"/>
      <c r="K2" s="41"/>
      <c r="W2" s="2">
        <v>6.0618816397159422E-2</v>
      </c>
    </row>
    <row r="3" spans="1:23" ht="15.5" thickTop="1" thickBot="1" x14ac:dyDescent="0.4">
      <c r="A3" s="24" t="s">
        <v>2</v>
      </c>
      <c r="B3" s="24" t="s">
        <v>12</v>
      </c>
      <c r="C3" s="24" t="s">
        <v>0</v>
      </c>
      <c r="D3" s="24" t="s">
        <v>13</v>
      </c>
      <c r="E3" s="24" t="s">
        <v>9</v>
      </c>
      <c r="F3" s="24" t="s">
        <v>10</v>
      </c>
      <c r="G3" s="24" t="s">
        <v>1</v>
      </c>
      <c r="H3" s="24" t="s">
        <v>11</v>
      </c>
      <c r="I3" s="24" t="s">
        <v>15</v>
      </c>
      <c r="J3" s="24" t="s">
        <v>16</v>
      </c>
      <c r="K3" s="41"/>
      <c r="W3" s="2">
        <v>7.4746829192677777E-2</v>
      </c>
    </row>
    <row r="4" spans="1:23" ht="15.5" thickTop="1" thickBot="1" x14ac:dyDescent="0.4">
      <c r="A4" s="42" t="s">
        <v>34</v>
      </c>
      <c r="B4" s="15">
        <v>7</v>
      </c>
      <c r="C4" s="3">
        <v>156</v>
      </c>
      <c r="D4" s="3">
        <v>306</v>
      </c>
      <c r="E4" s="89">
        <v>690.92938944506432</v>
      </c>
      <c r="F4" s="90">
        <v>2847.8405480626179</v>
      </c>
      <c r="G4" s="122">
        <f>F4*100/(E4*C4*$B$1)</f>
        <v>3.2985638005142433E-2</v>
      </c>
      <c r="H4" s="90">
        <f>24*W2</f>
        <v>1.454851593531826</v>
      </c>
      <c r="I4" s="89">
        <f>H4*D4</f>
        <v>445.18458762073874</v>
      </c>
      <c r="J4" s="89">
        <f>I4/(7*B4)</f>
        <v>9.0853997473620147</v>
      </c>
      <c r="K4" s="41"/>
      <c r="W4" s="2">
        <v>8.6882221145351338E-2</v>
      </c>
    </row>
    <row r="5" spans="1:23" ht="15" thickBot="1" x14ac:dyDescent="0.4">
      <c r="A5" s="43" t="s">
        <v>35</v>
      </c>
      <c r="B5" s="15">
        <v>33</v>
      </c>
      <c r="C5" s="3">
        <v>124</v>
      </c>
      <c r="D5" s="4">
        <v>721</v>
      </c>
      <c r="E5" s="89">
        <v>973.58867647742977</v>
      </c>
      <c r="F5" s="89">
        <v>3825.2986169559308</v>
      </c>
      <c r="G5" s="122">
        <f t="shared" ref="G5:G14" si="0">F5*100/(E5*C5*$B$1)</f>
        <v>3.9558118591158785E-2</v>
      </c>
      <c r="H5" s="90">
        <f t="shared" ref="H5:H14" si="1">24*W3</f>
        <v>1.7939239006242667</v>
      </c>
      <c r="I5" s="89">
        <f t="shared" ref="I5:I14" si="2">H5*D5</f>
        <v>1293.4191323500963</v>
      </c>
      <c r="J5" s="89">
        <f t="shared" ref="J5:J14" si="3">I5/(7*B5)</f>
        <v>5.5992170231605902</v>
      </c>
      <c r="K5" s="41"/>
      <c r="W5" s="2">
        <v>0.26147606169122622</v>
      </c>
    </row>
    <row r="6" spans="1:23" ht="15" thickBot="1" x14ac:dyDescent="0.4">
      <c r="A6" s="44" t="s">
        <v>36</v>
      </c>
      <c r="B6" s="16">
        <v>7</v>
      </c>
      <c r="C6" s="6">
        <v>124</v>
      </c>
      <c r="D6" s="7">
        <v>225</v>
      </c>
      <c r="E6" s="92">
        <v>1212.0379686896779</v>
      </c>
      <c r="F6" s="92">
        <v>5571.3899583197017</v>
      </c>
      <c r="G6" s="122">
        <f t="shared" si="0"/>
        <v>4.6279976628585962E-2</v>
      </c>
      <c r="H6" s="90">
        <f t="shared" si="1"/>
        <v>2.0851733074884322</v>
      </c>
      <c r="I6" s="89">
        <f t="shared" si="2"/>
        <v>469.16399418489726</v>
      </c>
      <c r="J6" s="89">
        <f t="shared" si="3"/>
        <v>9.5747753915285152</v>
      </c>
      <c r="K6" s="41"/>
      <c r="W6" s="2">
        <v>0.3117004829785382</v>
      </c>
    </row>
    <row r="7" spans="1:23" ht="15" thickBot="1" x14ac:dyDescent="0.4">
      <c r="A7" s="44" t="s">
        <v>45</v>
      </c>
      <c r="B7" s="16">
        <v>10</v>
      </c>
      <c r="C7" s="6">
        <v>247</v>
      </c>
      <c r="D7" s="7">
        <v>120</v>
      </c>
      <c r="E7" s="92">
        <v>4900.3465525539896</v>
      </c>
      <c r="F7" s="92">
        <v>32839.33413499649</v>
      </c>
      <c r="G7" s="122">
        <f t="shared" si="0"/>
        <v>3.3871784594815837E-2</v>
      </c>
      <c r="H7" s="90">
        <f t="shared" si="1"/>
        <v>6.2754254805894298</v>
      </c>
      <c r="I7" s="89">
        <f t="shared" si="2"/>
        <v>753.05105767073155</v>
      </c>
      <c r="J7" s="89">
        <f t="shared" si="3"/>
        <v>10.757872252439022</v>
      </c>
      <c r="K7" s="41"/>
      <c r="W7" s="2">
        <v>0.42935078859400855</v>
      </c>
    </row>
    <row r="8" spans="1:23" ht="15" thickBot="1" x14ac:dyDescent="0.4">
      <c r="A8" s="45" t="s">
        <v>37</v>
      </c>
      <c r="B8" s="17">
        <v>3</v>
      </c>
      <c r="C8" s="9">
        <v>278</v>
      </c>
      <c r="D8" s="9">
        <v>26</v>
      </c>
      <c r="E8" s="93">
        <v>5949.9917532336585</v>
      </c>
      <c r="F8" s="93">
        <v>37298.042508538943</v>
      </c>
      <c r="G8" s="122">
        <f t="shared" si="0"/>
        <v>2.8150905168878495E-2</v>
      </c>
      <c r="H8" s="90">
        <f t="shared" si="1"/>
        <v>7.4808115914849171</v>
      </c>
      <c r="I8" s="89">
        <f t="shared" si="2"/>
        <v>194.50110137860784</v>
      </c>
      <c r="J8" s="89">
        <f t="shared" si="3"/>
        <v>9.2619572085051356</v>
      </c>
      <c r="K8" s="41"/>
      <c r="W8" s="2">
        <v>4.8338689875114811E-2</v>
      </c>
    </row>
    <row r="9" spans="1:23" ht="15" thickBot="1" x14ac:dyDescent="0.4">
      <c r="A9" s="45" t="s">
        <v>38</v>
      </c>
      <c r="B9" s="17">
        <v>17</v>
      </c>
      <c r="C9" s="9">
        <v>275</v>
      </c>
      <c r="D9" s="9">
        <v>138</v>
      </c>
      <c r="E9" s="93">
        <v>8205.487837517283</v>
      </c>
      <c r="F9" s="93">
        <v>65768.237256256762</v>
      </c>
      <c r="G9" s="122">
        <f t="shared" si="0"/>
        <v>3.6387028078016387E-2</v>
      </c>
      <c r="H9" s="90">
        <f t="shared" si="1"/>
        <v>10.304418926256204</v>
      </c>
      <c r="I9" s="89">
        <f t="shared" si="2"/>
        <v>1422.0098118233561</v>
      </c>
      <c r="J9" s="89">
        <f t="shared" si="3"/>
        <v>11.949662284229884</v>
      </c>
      <c r="K9" s="41"/>
      <c r="W9" s="2">
        <v>0.3448636100837672</v>
      </c>
    </row>
    <row r="10" spans="1:23" ht="15" thickBot="1" x14ac:dyDescent="0.4">
      <c r="A10" s="46" t="s">
        <v>47</v>
      </c>
      <c r="B10" s="18">
        <v>3</v>
      </c>
      <c r="C10" s="12">
        <v>144</v>
      </c>
      <c r="D10" s="12">
        <v>32</v>
      </c>
      <c r="E10" s="94">
        <v>425.08758832547238</v>
      </c>
      <c r="F10" s="94">
        <v>2329.7849631391691</v>
      </c>
      <c r="G10" s="122">
        <f t="shared" si="0"/>
        <v>4.7516276963340993E-2</v>
      </c>
      <c r="H10" s="90">
        <f t="shared" si="1"/>
        <v>1.1601285570027555</v>
      </c>
      <c r="I10" s="89">
        <f t="shared" si="2"/>
        <v>37.124113824088177</v>
      </c>
      <c r="J10" s="89">
        <f t="shared" si="3"/>
        <v>1.7678149440041988</v>
      </c>
      <c r="K10" s="41"/>
      <c r="W10" s="2">
        <v>6.6710081563159676E-2</v>
      </c>
    </row>
    <row r="11" spans="1:23" x14ac:dyDescent="0.35">
      <c r="A11" s="41" t="s">
        <v>48</v>
      </c>
      <c r="B11" s="41">
        <v>1</v>
      </c>
      <c r="C11" s="41">
        <v>162</v>
      </c>
      <c r="D11" s="41">
        <v>12</v>
      </c>
      <c r="E11" s="95">
        <v>6328.3019942328165</v>
      </c>
      <c r="F11" s="95">
        <v>19137.737350319429</v>
      </c>
      <c r="G11" s="122">
        <f t="shared" si="0"/>
        <v>2.3305362542369805E-2</v>
      </c>
      <c r="H11" s="90">
        <f t="shared" si="1"/>
        <v>8.2767266420104129</v>
      </c>
      <c r="I11" s="89">
        <f t="shared" si="2"/>
        <v>99.320719704124954</v>
      </c>
      <c r="J11" s="89">
        <f t="shared" si="3"/>
        <v>14.188674243446423</v>
      </c>
      <c r="K11" s="41"/>
      <c r="W11" s="2">
        <v>2.2847222222221863E-2</v>
      </c>
    </row>
    <row r="12" spans="1:23" ht="17" customHeight="1" x14ac:dyDescent="0.35">
      <c r="A12" s="41" t="s">
        <v>39</v>
      </c>
      <c r="B12" s="41">
        <v>7</v>
      </c>
      <c r="C12" s="41">
        <v>92</v>
      </c>
      <c r="D12" s="41">
        <v>198</v>
      </c>
      <c r="E12" s="95">
        <v>739.14591266402181</v>
      </c>
      <c r="F12" s="95">
        <v>2684.5880327680134</v>
      </c>
      <c r="G12" s="122">
        <f t="shared" si="0"/>
        <v>4.928640333575101E-2</v>
      </c>
      <c r="H12" s="90">
        <f t="shared" si="1"/>
        <v>1.6010419575158323</v>
      </c>
      <c r="I12" s="89">
        <f t="shared" si="2"/>
        <v>317.0063075881348</v>
      </c>
      <c r="J12" s="89">
        <f t="shared" si="3"/>
        <v>6.4695164813905066</v>
      </c>
      <c r="K12" s="41"/>
      <c r="W12" s="2">
        <v>2.2847222222222238E-2</v>
      </c>
    </row>
    <row r="13" spans="1:23" x14ac:dyDescent="0.35">
      <c r="A13" s="41" t="s">
        <v>44</v>
      </c>
      <c r="B13" s="41">
        <v>19</v>
      </c>
      <c r="C13" s="41">
        <v>116</v>
      </c>
      <c r="D13" s="41">
        <v>877</v>
      </c>
      <c r="E13" s="95">
        <v>464.30672077405683</v>
      </c>
      <c r="F13" s="95">
        <v>570.04080000000545</v>
      </c>
      <c r="G13" s="122">
        <f t="shared" si="0"/>
        <v>1.3213274748464895E-2</v>
      </c>
      <c r="H13" s="90">
        <f t="shared" si="1"/>
        <v>0.54833333333332468</v>
      </c>
      <c r="I13" s="89">
        <f t="shared" si="2"/>
        <v>480.88833333332576</v>
      </c>
      <c r="J13" s="89">
        <f t="shared" si="3"/>
        <v>3.615701754385908</v>
      </c>
      <c r="K13" s="41"/>
    </row>
    <row r="14" spans="1:23" x14ac:dyDescent="0.35">
      <c r="A14" s="47" t="s">
        <v>46</v>
      </c>
      <c r="B14" s="47">
        <v>1</v>
      </c>
      <c r="C14" s="47">
        <v>34</v>
      </c>
      <c r="D14" s="47">
        <v>56</v>
      </c>
      <c r="E14" s="95">
        <v>164.60956614630601</v>
      </c>
      <c r="F14" s="95">
        <v>304.16040000000027</v>
      </c>
      <c r="G14" s="122">
        <f t="shared" si="0"/>
        <v>6.7847862062947267E-2</v>
      </c>
      <c r="H14" s="90">
        <f t="shared" si="1"/>
        <v>0.54833333333333367</v>
      </c>
      <c r="I14" s="89">
        <f t="shared" si="2"/>
        <v>30.706666666666685</v>
      </c>
      <c r="J14" s="89">
        <f t="shared" si="3"/>
        <v>4.3866666666666694</v>
      </c>
      <c r="K14" s="41"/>
    </row>
    <row r="15" spans="1:23" x14ac:dyDescent="0.35">
      <c r="A15" s="41"/>
      <c r="B15" s="41"/>
      <c r="C15" s="41"/>
      <c r="D15" s="41"/>
      <c r="E15" s="41"/>
      <c r="F15" s="41"/>
      <c r="G15" s="128"/>
      <c r="H15" s="41"/>
      <c r="I15" s="41"/>
      <c r="J15" s="41"/>
      <c r="K15" s="41"/>
    </row>
    <row r="16" spans="1:23" ht="15" thickBot="1" x14ac:dyDescent="0.4">
      <c r="A16" s="41"/>
      <c r="B16" s="41"/>
      <c r="C16" s="41"/>
      <c r="D16" s="41"/>
      <c r="E16" s="41"/>
      <c r="F16" s="41"/>
      <c r="G16" s="128"/>
      <c r="H16" s="41"/>
      <c r="I16" s="41"/>
      <c r="J16" s="41"/>
      <c r="K16" s="41"/>
    </row>
    <row r="17" spans="1:11" ht="30" thickTop="1" thickBot="1" x14ac:dyDescent="0.4">
      <c r="A17" s="24" t="s">
        <v>3</v>
      </c>
      <c r="B17" s="24" t="s">
        <v>12</v>
      </c>
      <c r="C17" s="29" t="s">
        <v>19</v>
      </c>
      <c r="D17" s="29" t="s">
        <v>14</v>
      </c>
      <c r="E17" s="24" t="s">
        <v>9</v>
      </c>
      <c r="F17" s="24" t="s">
        <v>10</v>
      </c>
      <c r="G17" s="123" t="s">
        <v>1</v>
      </c>
      <c r="H17" s="24" t="s">
        <v>11</v>
      </c>
      <c r="I17" s="29" t="s">
        <v>17</v>
      </c>
      <c r="J17" s="24" t="s">
        <v>18</v>
      </c>
      <c r="K17" s="41"/>
    </row>
    <row r="18" spans="1:11" ht="15.5" thickTop="1" thickBot="1" x14ac:dyDescent="0.4">
      <c r="A18" s="49" t="s">
        <v>4</v>
      </c>
      <c r="B18" s="27">
        <f>$B7+$B8+$B9</f>
        <v>30</v>
      </c>
      <c r="C18" s="102">
        <f>($B7*C7+$B8*C8+$B9*C9)/($B7+$B8+$B9)</f>
        <v>265.96666666666664</v>
      </c>
      <c r="D18" s="25">
        <f>(D7+D8+D9)</f>
        <v>284</v>
      </c>
      <c r="E18" s="101">
        <f t="shared" ref="E18:J18" si="4">($B7*E7+$B8*E8+$B9*E9)/($B7+$B8+$B9)</f>
        <v>6878.2244674344893</v>
      </c>
      <c r="F18" s="101">
        <f t="shared" si="4"/>
        <v>51944.916741064888</v>
      </c>
      <c r="G18" s="129">
        <f t="shared" si="4"/>
        <v>3.4725001292702416E-2</v>
      </c>
      <c r="H18" s="101">
        <f t="shared" si="4"/>
        <v>8.6790603775568176</v>
      </c>
      <c r="I18" s="101">
        <f>(I7+I8+I9)</f>
        <v>2369.5619708726954</v>
      </c>
      <c r="J18" s="101">
        <f t="shared" si="4"/>
        <v>11.283628432727122</v>
      </c>
      <c r="K18" s="41"/>
    </row>
    <row r="19" spans="1:11" ht="15" thickBot="1" x14ac:dyDescent="0.4">
      <c r="A19" s="44" t="s">
        <v>29</v>
      </c>
      <c r="B19" s="16">
        <f>($B4+$B5+$B6+$B10+$B11)</f>
        <v>51</v>
      </c>
      <c r="C19" s="97">
        <f>($B4*C4+$B5*C5+$B6*C6+$B10*C10+$B11*C11)/($B4+$B5+$B6+$B10+$B11)</f>
        <v>130.31372549019608</v>
      </c>
      <c r="D19" s="6">
        <f>(D4+D5+D6+D10+D11)</f>
        <v>1296</v>
      </c>
      <c r="E19" s="86">
        <f t="shared" ref="E19:J19" si="5">($B4*E4+$B5*E5+$B6*E6+$B10*E10+$B11*E11)/($B4+$B5+$B6+$B10+$B11)</f>
        <v>1040.2502468609337</v>
      </c>
      <c r="F19" s="86">
        <f t="shared" si="5"/>
        <v>4143.0698067442918</v>
      </c>
      <c r="G19" s="125">
        <f t="shared" si="5"/>
        <v>3.972806685052415E-2</v>
      </c>
      <c r="H19" s="86">
        <f t="shared" si="5"/>
        <v>1.8771916733482605</v>
      </c>
      <c r="I19" s="86">
        <f>(I4+I5+I6+I10+I11)</f>
        <v>2344.2125476839456</v>
      </c>
      <c r="J19" s="86">
        <f t="shared" si="5"/>
        <v>6.5664217021959255</v>
      </c>
      <c r="K19" s="41"/>
    </row>
    <row r="20" spans="1:11" ht="15" thickBot="1" x14ac:dyDescent="0.4">
      <c r="A20" s="45" t="s">
        <v>31</v>
      </c>
      <c r="B20" s="17">
        <f>$B12+$B13</f>
        <v>26</v>
      </c>
      <c r="C20" s="112">
        <f>($B12*C12+$B13*C13)/($B12+$B13)</f>
        <v>109.53846153846153</v>
      </c>
      <c r="D20" s="17">
        <f>(D12+D13)</f>
        <v>1075</v>
      </c>
      <c r="E20" s="103">
        <f t="shared" ref="E20:J20" si="6">($B12*E12+$B13*E13)/($B12+$B13)</f>
        <v>538.30188782135508</v>
      </c>
      <c r="F20" s="103">
        <f t="shared" si="6"/>
        <v>1139.3419780529307</v>
      </c>
      <c r="G20" s="130">
        <f t="shared" si="6"/>
        <v>2.2925270906580388E-2</v>
      </c>
      <c r="H20" s="103">
        <f t="shared" si="6"/>
        <v>0.83175488599784597</v>
      </c>
      <c r="I20" s="103">
        <f>(I12+I13)</f>
        <v>797.89464092146056</v>
      </c>
      <c r="J20" s="103">
        <f t="shared" si="6"/>
        <v>4.3840364885794543</v>
      </c>
      <c r="K20" s="41"/>
    </row>
    <row r="21" spans="1:11" ht="15" thickBot="1" x14ac:dyDescent="0.4">
      <c r="A21" s="46" t="s">
        <v>30</v>
      </c>
      <c r="B21" s="18">
        <f>B14</f>
        <v>1</v>
      </c>
      <c r="C21" s="99">
        <f t="shared" ref="C21:J21" si="7">C14</f>
        <v>34</v>
      </c>
      <c r="D21" s="18">
        <f t="shared" si="7"/>
        <v>56</v>
      </c>
      <c r="E21" s="88">
        <f t="shared" si="7"/>
        <v>164.60956614630601</v>
      </c>
      <c r="F21" s="88">
        <f t="shared" si="7"/>
        <v>304.16040000000027</v>
      </c>
      <c r="G21" s="127">
        <f t="shared" si="7"/>
        <v>6.7847862062947267E-2</v>
      </c>
      <c r="H21" s="88">
        <f t="shared" si="7"/>
        <v>0.54833333333333367</v>
      </c>
      <c r="I21" s="88">
        <f t="shared" si="7"/>
        <v>30.706666666666685</v>
      </c>
      <c r="J21" s="88">
        <f t="shared" si="7"/>
        <v>4.3866666666666694</v>
      </c>
      <c r="K21" s="41"/>
    </row>
    <row r="22" spans="1:11" x14ac:dyDescent="0.35">
      <c r="A22" s="41"/>
      <c r="B22" s="41"/>
      <c r="C22" s="41"/>
      <c r="D22" s="41"/>
      <c r="E22" s="41"/>
      <c r="F22" s="41"/>
      <c r="G22" s="41"/>
      <c r="H22" s="41"/>
      <c r="I22" s="41"/>
      <c r="J22" s="41"/>
      <c r="K22" s="41"/>
    </row>
    <row r="23" spans="1:11" x14ac:dyDescent="0.35">
      <c r="A23" s="41"/>
      <c r="B23" s="41"/>
      <c r="C23" s="41"/>
      <c r="D23" s="41"/>
      <c r="E23" s="41"/>
      <c r="F23" s="41"/>
      <c r="G23" s="41"/>
      <c r="H23" s="41"/>
      <c r="I23" s="41"/>
      <c r="J23" s="41"/>
      <c r="K23" s="41"/>
    </row>
    <row r="24" spans="1:11" x14ac:dyDescent="0.35">
      <c r="A24" s="41"/>
      <c r="B24" s="41"/>
      <c r="C24" s="41"/>
      <c r="D24" s="41"/>
      <c r="E24" s="41"/>
      <c r="F24" s="41"/>
      <c r="G24" s="41"/>
      <c r="H24" s="41"/>
      <c r="I24" s="41"/>
      <c r="J24" s="41"/>
      <c r="K24" s="41"/>
    </row>
    <row r="25" spans="1:11" x14ac:dyDescent="0.35">
      <c r="A25" s="41"/>
      <c r="B25" s="41"/>
      <c r="C25" s="41"/>
      <c r="D25" s="41"/>
      <c r="E25" s="41"/>
      <c r="F25" s="41"/>
      <c r="G25" s="41"/>
      <c r="H25" s="41"/>
      <c r="I25" s="41"/>
      <c r="J25" s="41"/>
      <c r="K25" s="41"/>
    </row>
    <row r="26" spans="1:11" x14ac:dyDescent="0.35">
      <c r="A26" s="41"/>
      <c r="B26" s="41"/>
      <c r="C26" s="41"/>
      <c r="D26" s="41"/>
      <c r="E26" s="41"/>
      <c r="F26" s="41"/>
      <c r="G26" s="41"/>
      <c r="H26" s="41"/>
      <c r="I26" s="41"/>
      <c r="J26" s="41"/>
      <c r="K26" s="41"/>
    </row>
    <row r="27" spans="1:11" x14ac:dyDescent="0.35">
      <c r="A27" s="41"/>
      <c r="B27" s="41"/>
      <c r="C27" s="41"/>
      <c r="D27" s="41"/>
      <c r="E27" s="41"/>
      <c r="F27" s="41"/>
      <c r="G27" s="41"/>
      <c r="H27" s="41"/>
      <c r="I27" s="41"/>
      <c r="J27" s="41"/>
      <c r="K27" s="41"/>
    </row>
    <row r="28" spans="1:11" x14ac:dyDescent="0.35">
      <c r="A28" s="41"/>
      <c r="B28" s="41"/>
      <c r="C28" s="41"/>
      <c r="D28" s="41"/>
      <c r="E28" s="41"/>
      <c r="F28" s="41"/>
      <c r="G28" s="41"/>
      <c r="H28" s="41"/>
      <c r="I28" s="41"/>
      <c r="J28" s="41"/>
      <c r="K28" s="41"/>
    </row>
    <row r="29" spans="1:11" x14ac:dyDescent="0.35">
      <c r="A29" s="41"/>
      <c r="B29" s="41"/>
      <c r="C29" s="41"/>
      <c r="D29" s="41"/>
      <c r="E29" s="41"/>
      <c r="F29" s="41"/>
      <c r="G29" s="41"/>
      <c r="H29" s="41"/>
      <c r="I29" s="41"/>
      <c r="J29" s="41"/>
      <c r="K29" s="41"/>
    </row>
    <row r="30" spans="1:11" x14ac:dyDescent="0.35">
      <c r="A30" s="41"/>
      <c r="B30" s="41"/>
      <c r="C30" s="41"/>
      <c r="D30" s="41"/>
      <c r="E30" s="41"/>
      <c r="F30" s="41"/>
      <c r="G30" s="41"/>
      <c r="H30" s="41"/>
      <c r="I30" s="41"/>
      <c r="J30" s="41"/>
      <c r="K30" s="41"/>
    </row>
    <row r="31" spans="1:11" x14ac:dyDescent="0.35">
      <c r="A31" s="41"/>
      <c r="B31" s="41"/>
      <c r="C31" s="41"/>
      <c r="D31" s="41"/>
      <c r="E31" s="41"/>
      <c r="F31" s="41"/>
      <c r="G31" s="41"/>
      <c r="H31" s="41"/>
      <c r="I31" s="41"/>
      <c r="J31" s="41"/>
      <c r="K31" s="41"/>
    </row>
    <row r="32" spans="1:11" x14ac:dyDescent="0.35">
      <c r="A32" s="41"/>
      <c r="B32" s="41"/>
      <c r="C32" s="41"/>
      <c r="D32" s="41"/>
      <c r="E32" s="41"/>
      <c r="F32" s="41"/>
      <c r="G32" s="41"/>
      <c r="H32" s="41"/>
      <c r="I32" s="41"/>
      <c r="J32" s="41"/>
      <c r="K32"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topLeftCell="A3" zoomScaleNormal="100" workbookViewId="0">
      <selection activeCell="G4" sqref="G4:G19"/>
    </sheetView>
  </sheetViews>
  <sheetFormatPr baseColWidth="10" defaultColWidth="11.453125" defaultRowHeight="14.5" x14ac:dyDescent="0.35"/>
  <cols>
    <col min="1" max="1" width="27.7265625" style="2" customWidth="1"/>
    <col min="2" max="2" width="11" style="2" customWidth="1"/>
    <col min="3" max="3" width="12"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21" ht="15.5" thickTop="1" thickBot="1" x14ac:dyDescent="0.4">
      <c r="A1" s="24" t="s">
        <v>8</v>
      </c>
      <c r="B1" s="30">
        <v>82.5</v>
      </c>
      <c r="C1" s="48"/>
      <c r="D1" s="41"/>
      <c r="E1" s="41"/>
      <c r="F1" s="41"/>
      <c r="G1" s="41"/>
      <c r="H1" s="41"/>
      <c r="I1" s="41"/>
      <c r="J1" s="41"/>
      <c r="K1" s="41"/>
    </row>
    <row r="2" spans="1:21" ht="15.5" thickTop="1" thickBot="1" x14ac:dyDescent="0.4">
      <c r="A2" s="41"/>
      <c r="B2" s="41"/>
      <c r="C2" s="41"/>
      <c r="D2" s="41"/>
      <c r="E2" s="41"/>
      <c r="F2" s="41"/>
      <c r="G2" s="41"/>
      <c r="H2" s="41"/>
      <c r="I2" s="41"/>
      <c r="J2" s="41"/>
      <c r="K2" s="41"/>
    </row>
    <row r="3" spans="1:21" ht="15.5" thickTop="1" thickBot="1" x14ac:dyDescent="0.4">
      <c r="A3" s="24" t="s">
        <v>2</v>
      </c>
      <c r="B3" s="24" t="s">
        <v>12</v>
      </c>
      <c r="C3" s="24" t="s">
        <v>0</v>
      </c>
      <c r="D3" s="24" t="s">
        <v>13</v>
      </c>
      <c r="E3" s="24" t="s">
        <v>9</v>
      </c>
      <c r="F3" s="24" t="s">
        <v>10</v>
      </c>
      <c r="G3" s="24" t="s">
        <v>1</v>
      </c>
      <c r="H3" s="24" t="s">
        <v>11</v>
      </c>
      <c r="I3" s="24" t="s">
        <v>15</v>
      </c>
      <c r="J3" s="24" t="s">
        <v>16</v>
      </c>
      <c r="K3" s="41"/>
    </row>
    <row r="4" spans="1:21" ht="15.5" thickTop="1" thickBot="1" x14ac:dyDescent="0.4">
      <c r="A4" s="42" t="s">
        <v>34</v>
      </c>
      <c r="B4" s="15">
        <v>7</v>
      </c>
      <c r="C4" s="3">
        <v>156</v>
      </c>
      <c r="D4" s="3">
        <v>289</v>
      </c>
      <c r="E4" s="5">
        <v>764.03778289437912</v>
      </c>
      <c r="F4" s="90">
        <v>3042.619404803856</v>
      </c>
      <c r="G4" s="122">
        <f>F4*100/(E4*C4*$B$1)</f>
        <v>3.0942417961247009E-2</v>
      </c>
      <c r="H4" s="90">
        <f>24*U4</f>
        <v>1.5417813341665652</v>
      </c>
      <c r="I4" s="89">
        <f>H4*D4</f>
        <v>445.57480557413732</v>
      </c>
      <c r="J4" s="89">
        <f>I4/(7*B4)</f>
        <v>9.0933633790640265</v>
      </c>
      <c r="K4" s="41"/>
      <c r="U4" s="2">
        <v>6.4240888923606881E-2</v>
      </c>
    </row>
    <row r="5" spans="1:21" ht="15" thickBot="1" x14ac:dyDescent="0.4">
      <c r="A5" s="43" t="s">
        <v>35</v>
      </c>
      <c r="B5" s="15">
        <v>27</v>
      </c>
      <c r="C5" s="3">
        <v>124</v>
      </c>
      <c r="D5" s="4">
        <v>762</v>
      </c>
      <c r="E5" s="5">
        <v>901.8146769533804</v>
      </c>
      <c r="F5" s="89">
        <v>3640.6615845897759</v>
      </c>
      <c r="G5" s="122">
        <f t="shared" ref="G5:G14" si="0">F5*100/(E5*C5*$B$1)</f>
        <v>3.9462752925206561E-2</v>
      </c>
      <c r="H5" s="90">
        <f t="shared" ref="H5:H14" si="1">24*U5</f>
        <v>1.7066224206094369</v>
      </c>
      <c r="I5" s="89">
        <f t="shared" ref="I5:I14" si="2">H5*D5</f>
        <v>1300.4462845043909</v>
      </c>
      <c r="J5" s="89">
        <f t="shared" ref="J5:J14" si="3">I5/(7*B5)</f>
        <v>6.8806681719809042</v>
      </c>
      <c r="K5" s="41"/>
      <c r="U5" s="2">
        <v>7.1109267525393205E-2</v>
      </c>
    </row>
    <row r="6" spans="1:21" ht="15" thickBot="1" x14ac:dyDescent="0.4">
      <c r="A6" s="44" t="s">
        <v>36</v>
      </c>
      <c r="B6" s="16">
        <v>6</v>
      </c>
      <c r="C6" s="6">
        <v>124</v>
      </c>
      <c r="D6" s="7">
        <v>224</v>
      </c>
      <c r="E6" s="8">
        <v>1172.2585497532223</v>
      </c>
      <c r="F6" s="92">
        <v>5429.3497551359596</v>
      </c>
      <c r="G6" s="122">
        <f t="shared" si="0"/>
        <v>4.5273990658479438E-2</v>
      </c>
      <c r="H6" s="90">
        <f t="shared" si="1"/>
        <v>2.0381202159674618</v>
      </c>
      <c r="I6" s="89">
        <f t="shared" si="2"/>
        <v>456.53892837671145</v>
      </c>
      <c r="J6" s="89">
        <f t="shared" si="3"/>
        <v>10.869974485159796</v>
      </c>
      <c r="K6" s="41"/>
      <c r="U6" s="2">
        <v>8.4921675665310919E-2</v>
      </c>
    </row>
    <row r="7" spans="1:21" ht="15" thickBot="1" x14ac:dyDescent="0.4">
      <c r="A7" s="44" t="s">
        <v>45</v>
      </c>
      <c r="B7" s="16">
        <v>5</v>
      </c>
      <c r="C7" s="6">
        <v>247</v>
      </c>
      <c r="D7" s="7">
        <v>58</v>
      </c>
      <c r="E7" s="8">
        <v>4788.7399110652386</v>
      </c>
      <c r="F7" s="92">
        <v>32282.299605831882</v>
      </c>
      <c r="G7" s="122">
        <f t="shared" si="0"/>
        <v>3.3082042250792233E-2</v>
      </c>
      <c r="H7" s="90">
        <f t="shared" si="1"/>
        <v>6.1474446735961852</v>
      </c>
      <c r="I7" s="89">
        <f t="shared" si="2"/>
        <v>356.55179106857872</v>
      </c>
      <c r="J7" s="89">
        <f t="shared" si="3"/>
        <v>10.18719403053082</v>
      </c>
      <c r="K7" s="41"/>
      <c r="U7" s="2">
        <v>0.2561435280665077</v>
      </c>
    </row>
    <row r="8" spans="1:21" ht="15" thickBot="1" x14ac:dyDescent="0.4">
      <c r="A8" s="45" t="s">
        <v>37</v>
      </c>
      <c r="B8" s="17">
        <v>8</v>
      </c>
      <c r="C8" s="9">
        <v>278</v>
      </c>
      <c r="D8" s="9">
        <v>87</v>
      </c>
      <c r="E8" s="11">
        <v>5991.7448516175327</v>
      </c>
      <c r="F8" s="93">
        <v>37596.04458290687</v>
      </c>
      <c r="G8" s="122">
        <f t="shared" si="0"/>
        <v>2.7358362525127616E-2</v>
      </c>
      <c r="H8" s="90">
        <f t="shared" si="1"/>
        <v>7.5290234425498372</v>
      </c>
      <c r="I8" s="89">
        <f t="shared" si="2"/>
        <v>655.02503950183586</v>
      </c>
      <c r="J8" s="89">
        <f t="shared" si="3"/>
        <v>11.696875705389926</v>
      </c>
      <c r="K8" s="41"/>
      <c r="U8" s="2">
        <v>0.3137093101062432</v>
      </c>
    </row>
    <row r="9" spans="1:21" ht="15" thickBot="1" x14ac:dyDescent="0.4">
      <c r="A9" s="45" t="s">
        <v>38</v>
      </c>
      <c r="B9" s="17">
        <v>18</v>
      </c>
      <c r="C9" s="9">
        <v>275</v>
      </c>
      <c r="D9" s="9">
        <v>154</v>
      </c>
      <c r="E9" s="11">
        <v>8054.7134723525087</v>
      </c>
      <c r="F9" s="93">
        <v>64708.610799818387</v>
      </c>
      <c r="G9" s="122">
        <f t="shared" si="0"/>
        <v>3.5409951983825537E-2</v>
      </c>
      <c r="H9" s="90">
        <f t="shared" si="1"/>
        <v>10.125779274078148</v>
      </c>
      <c r="I9" s="89">
        <f t="shared" si="2"/>
        <v>1559.3700082080347</v>
      </c>
      <c r="J9" s="89">
        <f t="shared" si="3"/>
        <v>12.375952446095514</v>
      </c>
      <c r="K9" s="41"/>
      <c r="U9" s="2">
        <v>0.42190746975325616</v>
      </c>
    </row>
    <row r="10" spans="1:21" ht="15" thickBot="1" x14ac:dyDescent="0.4">
      <c r="A10" s="46" t="s">
        <v>47</v>
      </c>
      <c r="B10" s="18">
        <v>4</v>
      </c>
      <c r="C10" s="12">
        <v>144</v>
      </c>
      <c r="D10" s="12">
        <v>23</v>
      </c>
      <c r="E10" s="14">
        <v>552.56462924307073</v>
      </c>
      <c r="F10" s="94">
        <v>2711.2293310092236</v>
      </c>
      <c r="G10" s="122">
        <f t="shared" si="0"/>
        <v>4.1301586290147158E-2</v>
      </c>
      <c r="H10" s="90">
        <f t="shared" si="1"/>
        <v>1.317068618321406</v>
      </c>
      <c r="I10" s="89">
        <f t="shared" si="2"/>
        <v>30.292578221392336</v>
      </c>
      <c r="J10" s="89">
        <f t="shared" si="3"/>
        <v>1.0818777936211548</v>
      </c>
      <c r="K10" s="41"/>
      <c r="U10" s="2">
        <v>5.4877859096725254E-2</v>
      </c>
    </row>
    <row r="11" spans="1:21" x14ac:dyDescent="0.35">
      <c r="A11" s="41" t="s">
        <v>48</v>
      </c>
      <c r="B11" s="41">
        <v>1</v>
      </c>
      <c r="C11" s="41">
        <v>162</v>
      </c>
      <c r="D11" s="41">
        <v>12</v>
      </c>
      <c r="E11" s="91">
        <v>6328.3019942328165</v>
      </c>
      <c r="F11" s="95">
        <v>19137.737350319429</v>
      </c>
      <c r="G11" s="122">
        <f t="shared" si="0"/>
        <v>2.2627388359319048E-2</v>
      </c>
      <c r="H11" s="90">
        <f t="shared" si="1"/>
        <v>8.2767266420104129</v>
      </c>
      <c r="I11" s="89">
        <f t="shared" si="2"/>
        <v>99.320719704124954</v>
      </c>
      <c r="J11" s="89">
        <f t="shared" si="3"/>
        <v>14.188674243446423</v>
      </c>
      <c r="K11" s="41"/>
      <c r="U11" s="2">
        <v>0.3448636100837672</v>
      </c>
    </row>
    <row r="12" spans="1:21" ht="38.25" customHeight="1" x14ac:dyDescent="0.35">
      <c r="A12" s="41" t="s">
        <v>39</v>
      </c>
      <c r="B12" s="41">
        <v>8</v>
      </c>
      <c r="C12" s="41">
        <v>92</v>
      </c>
      <c r="D12" s="41">
        <v>241</v>
      </c>
      <c r="E12" s="91">
        <v>647.79142774714887</v>
      </c>
      <c r="F12" s="95">
        <v>2464.7372701631807</v>
      </c>
      <c r="G12" s="122">
        <f t="shared" si="0"/>
        <v>5.0129533101828987E-2</v>
      </c>
      <c r="H12" s="90">
        <f t="shared" si="1"/>
        <v>1.4825400063144716</v>
      </c>
      <c r="I12" s="89">
        <f t="shared" si="2"/>
        <v>357.29214152178764</v>
      </c>
      <c r="J12" s="89">
        <f t="shared" si="3"/>
        <v>6.3802168128890653</v>
      </c>
      <c r="K12" s="41"/>
      <c r="U12" s="2">
        <v>6.1772500263102985E-2</v>
      </c>
    </row>
    <row r="13" spans="1:21" x14ac:dyDescent="0.35">
      <c r="A13" s="41" t="s">
        <v>44</v>
      </c>
      <c r="B13" s="41">
        <v>20</v>
      </c>
      <c r="C13" s="41">
        <v>116</v>
      </c>
      <c r="D13" s="41">
        <v>919</v>
      </c>
      <c r="E13" s="91">
        <v>464.25230228204981</v>
      </c>
      <c r="F13" s="95">
        <v>570.04080000000602</v>
      </c>
      <c r="G13" s="122">
        <f t="shared" si="0"/>
        <v>1.2830392344148744E-2</v>
      </c>
      <c r="H13" s="90">
        <f t="shared" si="1"/>
        <v>0.54833333333332435</v>
      </c>
      <c r="I13" s="89">
        <f t="shared" si="2"/>
        <v>503.91833333332505</v>
      </c>
      <c r="J13" s="89">
        <f t="shared" si="3"/>
        <v>3.5994166666666074</v>
      </c>
      <c r="K13" s="41"/>
      <c r="U13" s="2">
        <v>2.2847222222221849E-2</v>
      </c>
    </row>
    <row r="14" spans="1:21" ht="15" thickBot="1" x14ac:dyDescent="0.4">
      <c r="A14" s="47" t="s">
        <v>46</v>
      </c>
      <c r="B14" s="47">
        <v>1</v>
      </c>
      <c r="C14" s="47">
        <v>34</v>
      </c>
      <c r="D14" s="47">
        <v>56</v>
      </c>
      <c r="E14" s="91">
        <v>164.60956614630601</v>
      </c>
      <c r="F14" s="95">
        <v>304.16040000000027</v>
      </c>
      <c r="G14" s="122">
        <f t="shared" si="0"/>
        <v>6.587410607566152E-2</v>
      </c>
      <c r="H14" s="90">
        <f t="shared" si="1"/>
        <v>0.54833333333333367</v>
      </c>
      <c r="I14" s="89">
        <f t="shared" si="2"/>
        <v>30.706666666666685</v>
      </c>
      <c r="J14" s="89">
        <f t="shared" si="3"/>
        <v>4.3866666666666694</v>
      </c>
      <c r="K14" s="41"/>
      <c r="U14" s="2">
        <v>2.2847222222222238E-2</v>
      </c>
    </row>
    <row r="15" spans="1:21" ht="30" thickTop="1" thickBot="1" x14ac:dyDescent="0.4">
      <c r="A15" s="24" t="s">
        <v>3</v>
      </c>
      <c r="B15" s="24" t="s">
        <v>12</v>
      </c>
      <c r="C15" s="29" t="s">
        <v>19</v>
      </c>
      <c r="D15" s="29" t="s">
        <v>14</v>
      </c>
      <c r="E15" s="24" t="s">
        <v>9</v>
      </c>
      <c r="F15" s="24" t="s">
        <v>10</v>
      </c>
      <c r="G15" s="123" t="s">
        <v>1</v>
      </c>
      <c r="H15" s="24" t="s">
        <v>11</v>
      </c>
      <c r="I15" s="29" t="s">
        <v>17</v>
      </c>
      <c r="J15" s="24" t="s">
        <v>18</v>
      </c>
      <c r="K15" s="41"/>
    </row>
    <row r="16" spans="1:21" ht="15.5" thickTop="1" thickBot="1" x14ac:dyDescent="0.4">
      <c r="A16" s="49" t="s">
        <v>4</v>
      </c>
      <c r="B16" s="27">
        <f>$B7+$B8+$B9</f>
        <v>31</v>
      </c>
      <c r="C16" s="102">
        <f>($B7*C7+$B8*C8+$B9*C9)/($B7+$B8+$B9)</f>
        <v>271.25806451612902</v>
      </c>
      <c r="D16" s="25">
        <f>D7+D8+D9</f>
        <v>299</v>
      </c>
      <c r="E16" s="100">
        <f t="shared" ref="E16:J16" si="4">($B7*E7+$B8*E8+$B9*E9)/($B7+$B8+$B9)</f>
        <v>6995.5645442132773</v>
      </c>
      <c r="F16" s="101">
        <f t="shared" si="4"/>
        <v>52481.769325456306</v>
      </c>
      <c r="G16" s="129">
        <f t="shared" si="4"/>
        <v>3.2956653134317476E-2</v>
      </c>
      <c r="H16" s="101">
        <f t="shared" si="4"/>
        <v>8.8139818658640756</v>
      </c>
      <c r="I16" s="101">
        <f>(I7+I8+I9)</f>
        <v>2570.9468387784491</v>
      </c>
      <c r="J16" s="101">
        <f t="shared" si="4"/>
        <v>11.847681284693314</v>
      </c>
      <c r="K16" s="41"/>
    </row>
    <row r="17" spans="1:11" ht="15" thickBot="1" x14ac:dyDescent="0.4">
      <c r="A17" s="44" t="s">
        <v>29</v>
      </c>
      <c r="B17" s="16">
        <f>($B4+$B5+$B6+$B10+$B11)</f>
        <v>45</v>
      </c>
      <c r="C17" s="97">
        <f>($B4*C4+$B5*C5+$B6*C6+$B10*C10+$B11*C11)/($B4+$B5+$B6+$B10+$B11)</f>
        <v>131.6</v>
      </c>
      <c r="D17" s="6">
        <f>(D4+D5+D6+D10+D11)</f>
        <v>1310</v>
      </c>
      <c r="E17" s="82">
        <f t="shared" ref="E17:J17" si="5">($B4*E4+$B5*E5+$B6*E6+$B10*E10+$B11*E11)/($B4+$B5+$B6+$B10+$B11)</f>
        <v>1005.9860570605857</v>
      </c>
      <c r="F17" s="86">
        <f t="shared" si="5"/>
        <v>4047.8878182827334</v>
      </c>
      <c r="G17" s="125">
        <f t="shared" si="5"/>
        <v>3.8701531826224239E-2</v>
      </c>
      <c r="H17" s="86">
        <f t="shared" si="5"/>
        <v>1.8365554912604791</v>
      </c>
      <c r="I17" s="86">
        <f>(I4+I5+I6+I10+I11)</f>
        <v>2332.1733163807571</v>
      </c>
      <c r="J17" s="86">
        <f t="shared" si="5"/>
        <v>7.4037248139071661</v>
      </c>
      <c r="K17" s="41"/>
    </row>
    <row r="18" spans="1:11" ht="15" thickBot="1" x14ac:dyDescent="0.4">
      <c r="A18" s="45" t="s">
        <v>31</v>
      </c>
      <c r="B18" s="17">
        <f>$B12+$B13</f>
        <v>28</v>
      </c>
      <c r="C18" s="98">
        <f>($B12*C12+$B13*C13)/($B12+$B13)</f>
        <v>109.14285714285714</v>
      </c>
      <c r="D18" s="10">
        <f>(D12+D13)</f>
        <v>1160</v>
      </c>
      <c r="E18" s="83">
        <f t="shared" ref="E18:J18" si="6">($B12*E12+$B13*E13)/($B12+$B13)</f>
        <v>516.69205241493523</v>
      </c>
      <c r="F18" s="87">
        <f t="shared" si="6"/>
        <v>1111.3826486180558</v>
      </c>
      <c r="G18" s="126">
        <f t="shared" si="6"/>
        <v>2.3487289703485958E-2</v>
      </c>
      <c r="H18" s="87">
        <f t="shared" si="6"/>
        <v>0.81524952561365205</v>
      </c>
      <c r="I18" s="87">
        <f>(I12+I13)</f>
        <v>861.21047485511269</v>
      </c>
      <c r="J18" s="87">
        <f t="shared" si="6"/>
        <v>4.3939309941587386</v>
      </c>
      <c r="K18" s="41"/>
    </row>
    <row r="19" spans="1:11" ht="15" thickBot="1" x14ac:dyDescent="0.4">
      <c r="A19" s="46" t="s">
        <v>30</v>
      </c>
      <c r="B19" s="18">
        <f>B14</f>
        <v>1</v>
      </c>
      <c r="C19" s="99">
        <f t="shared" ref="C19:J19" si="7">C14</f>
        <v>34</v>
      </c>
      <c r="D19" s="18">
        <f t="shared" si="7"/>
        <v>56</v>
      </c>
      <c r="E19" s="84">
        <f t="shared" si="7"/>
        <v>164.60956614630601</v>
      </c>
      <c r="F19" s="88">
        <f t="shared" si="7"/>
        <v>304.16040000000027</v>
      </c>
      <c r="G19" s="127">
        <f t="shared" si="7"/>
        <v>6.587410607566152E-2</v>
      </c>
      <c r="H19" s="88">
        <f t="shared" si="7"/>
        <v>0.54833333333333367</v>
      </c>
      <c r="I19" s="88">
        <f t="shared" si="7"/>
        <v>30.706666666666685</v>
      </c>
      <c r="J19" s="88">
        <f t="shared" si="7"/>
        <v>4.3866666666666694</v>
      </c>
      <c r="K19" s="41"/>
    </row>
    <row r="20" spans="1:11" x14ac:dyDescent="0.35">
      <c r="A20" s="41"/>
      <c r="B20" s="41"/>
      <c r="C20" s="41"/>
      <c r="D20" s="41"/>
      <c r="E20" s="41"/>
      <c r="F20" s="41"/>
      <c r="G20" s="41"/>
      <c r="H20" s="41"/>
      <c r="I20" s="41"/>
      <c r="J20" s="41"/>
      <c r="K20" s="41"/>
    </row>
    <row r="21" spans="1:11" x14ac:dyDescent="0.35">
      <c r="A21" s="41"/>
      <c r="B21" s="41"/>
      <c r="C21" s="41"/>
      <c r="D21" s="41"/>
      <c r="E21" s="41"/>
      <c r="F21" s="41"/>
      <c r="G21" s="41"/>
      <c r="H21" s="41"/>
      <c r="I21" s="41"/>
      <c r="J21" s="41"/>
      <c r="K21" s="41"/>
    </row>
    <row r="22" spans="1:11" x14ac:dyDescent="0.35">
      <c r="A22" s="41"/>
      <c r="B22" s="41"/>
      <c r="C22" s="41"/>
      <c r="D22" s="41"/>
      <c r="E22" s="41"/>
      <c r="F22" s="41"/>
      <c r="G22" s="41"/>
      <c r="H22" s="41"/>
      <c r="I22" s="41"/>
      <c r="J22" s="41"/>
      <c r="K22" s="41"/>
    </row>
    <row r="23" spans="1:11" x14ac:dyDescent="0.35">
      <c r="A23" s="41"/>
      <c r="B23" s="41"/>
      <c r="C23" s="41"/>
      <c r="D23" s="41"/>
      <c r="E23" s="41"/>
      <c r="F23" s="41"/>
      <c r="G23" s="41"/>
      <c r="H23" s="41"/>
      <c r="I23" s="41"/>
      <c r="J23" s="41"/>
      <c r="K23" s="41"/>
    </row>
    <row r="24" spans="1:11" x14ac:dyDescent="0.35">
      <c r="A24" s="41"/>
      <c r="B24" s="41"/>
      <c r="C24" s="41"/>
      <c r="D24" s="41"/>
      <c r="E24" s="41"/>
      <c r="F24" s="41"/>
      <c r="G24" s="41"/>
      <c r="H24" s="41"/>
      <c r="I24" s="41"/>
      <c r="J24" s="41"/>
      <c r="K24" s="41"/>
    </row>
    <row r="25" spans="1:11" x14ac:dyDescent="0.35">
      <c r="A25" s="41"/>
      <c r="B25" s="41"/>
      <c r="C25" s="41"/>
      <c r="D25" s="41"/>
      <c r="E25" s="41"/>
      <c r="F25" s="41"/>
      <c r="G25" s="41"/>
      <c r="H25" s="41"/>
      <c r="I25" s="41"/>
      <c r="J25" s="41"/>
      <c r="K25" s="41"/>
    </row>
    <row r="26" spans="1:11" x14ac:dyDescent="0.35">
      <c r="A26" s="41"/>
      <c r="B26" s="41"/>
      <c r="C26" s="41"/>
      <c r="D26" s="41"/>
      <c r="E26" s="41"/>
      <c r="F26" s="41"/>
      <c r="G26" s="41"/>
      <c r="H26" s="41"/>
      <c r="I26" s="41"/>
      <c r="J26" s="41"/>
      <c r="K26" s="41"/>
    </row>
    <row r="27" spans="1:11" x14ac:dyDescent="0.35">
      <c r="A27" s="41"/>
      <c r="B27" s="41"/>
      <c r="C27" s="41"/>
      <c r="D27" s="41"/>
      <c r="E27" s="41"/>
      <c r="F27" s="41"/>
      <c r="G27" s="41"/>
      <c r="H27" s="41"/>
      <c r="I27" s="41"/>
      <c r="J27" s="41"/>
      <c r="K27" s="41"/>
    </row>
    <row r="28" spans="1:11" x14ac:dyDescent="0.35">
      <c r="A28" s="41"/>
      <c r="B28" s="41"/>
      <c r="C28" s="41"/>
      <c r="D28" s="41"/>
      <c r="E28" s="41"/>
      <c r="F28" s="41"/>
      <c r="G28" s="41"/>
      <c r="H28" s="41"/>
      <c r="I28" s="41"/>
      <c r="J28" s="41"/>
      <c r="K28" s="41"/>
    </row>
    <row r="29" spans="1:11" x14ac:dyDescent="0.35">
      <c r="A29" s="41"/>
      <c r="B29" s="41"/>
      <c r="C29" s="41"/>
      <c r="D29" s="41"/>
      <c r="E29" s="41"/>
      <c r="F29" s="41"/>
      <c r="G29" s="41"/>
      <c r="H29" s="41"/>
      <c r="I29" s="41"/>
      <c r="J29" s="41"/>
      <c r="K29" s="41"/>
    </row>
    <row r="30" spans="1:11" x14ac:dyDescent="0.35">
      <c r="A30" s="41"/>
      <c r="B30" s="41"/>
      <c r="C30" s="41"/>
      <c r="D30" s="41"/>
      <c r="E30" s="41"/>
      <c r="F30" s="41"/>
      <c r="G30" s="41"/>
      <c r="H30" s="41"/>
      <c r="I30" s="41"/>
      <c r="J30" s="41"/>
      <c r="K30"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zoomScale="85" zoomScaleNormal="85" workbookViewId="0">
      <selection activeCell="G4" sqref="G4:G19"/>
    </sheetView>
  </sheetViews>
  <sheetFormatPr baseColWidth="10" defaultColWidth="11.453125" defaultRowHeight="14.5" x14ac:dyDescent="0.35"/>
  <cols>
    <col min="1" max="1" width="27.7265625" style="2" customWidth="1"/>
    <col min="2" max="2" width="13" style="2" customWidth="1"/>
    <col min="3" max="3" width="15"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28" ht="15.5" thickTop="1" thickBot="1" x14ac:dyDescent="0.4">
      <c r="A1" s="24" t="s">
        <v>8</v>
      </c>
      <c r="B1" s="30">
        <v>82</v>
      </c>
      <c r="C1" s="48"/>
      <c r="D1" s="41"/>
      <c r="E1" s="41"/>
      <c r="F1" s="41"/>
      <c r="G1" s="41"/>
      <c r="H1" s="41"/>
      <c r="I1" s="41"/>
      <c r="J1" s="41"/>
      <c r="K1" s="41"/>
      <c r="L1" s="41"/>
    </row>
    <row r="2" spans="1:28" ht="15.5" thickTop="1" thickBot="1" x14ac:dyDescent="0.4">
      <c r="A2" s="41"/>
      <c r="B2" s="41"/>
      <c r="C2" s="41"/>
      <c r="D2" s="41"/>
      <c r="E2" s="41"/>
      <c r="F2" s="41"/>
      <c r="G2" s="41"/>
      <c r="H2" s="41"/>
      <c r="I2" s="41"/>
      <c r="J2" s="41"/>
      <c r="K2" s="41"/>
      <c r="L2" s="41"/>
    </row>
    <row r="3" spans="1:28" ht="15.5" thickTop="1" thickBot="1" x14ac:dyDescent="0.4">
      <c r="A3" s="50" t="s">
        <v>2</v>
      </c>
      <c r="B3" s="50" t="s">
        <v>12</v>
      </c>
      <c r="C3" s="50" t="s">
        <v>0</v>
      </c>
      <c r="D3" s="50" t="s">
        <v>13</v>
      </c>
      <c r="E3" s="50" t="s">
        <v>9</v>
      </c>
      <c r="F3" s="50" t="s">
        <v>10</v>
      </c>
      <c r="G3" s="50" t="s">
        <v>1</v>
      </c>
      <c r="H3" s="50" t="s">
        <v>11</v>
      </c>
      <c r="I3" s="50" t="s">
        <v>15</v>
      </c>
      <c r="J3" s="50" t="s">
        <v>16</v>
      </c>
      <c r="K3" s="41"/>
      <c r="L3" s="41"/>
    </row>
    <row r="4" spans="1:28" ht="15" thickBot="1" x14ac:dyDescent="0.4">
      <c r="A4" s="42" t="s">
        <v>34</v>
      </c>
      <c r="B4" s="15">
        <v>7</v>
      </c>
      <c r="C4" s="3">
        <v>156</v>
      </c>
      <c r="D4" s="3">
        <v>275</v>
      </c>
      <c r="E4" s="89">
        <v>782.33942219943913</v>
      </c>
      <c r="F4" s="90">
        <v>3093.2051544639094</v>
      </c>
      <c r="G4" s="122">
        <f>F4*100/(E4*C4*$B$1)</f>
        <v>3.0908295772285339E-2</v>
      </c>
      <c r="H4" s="90">
        <f t="shared" ref="H4:H14" si="0">AB4*24</f>
        <v>1.5634461061596117</v>
      </c>
      <c r="I4" s="89">
        <f t="shared" ref="I4:I14" si="1">H4*D4</f>
        <v>429.94767919389318</v>
      </c>
      <c r="J4" s="104">
        <f t="shared" ref="J4:J14" si="2">I4/(7*B4)</f>
        <v>8.7744424325284314</v>
      </c>
      <c r="K4" s="41"/>
      <c r="L4" s="41"/>
      <c r="AB4" s="4">
        <v>6.5143587756650481E-2</v>
      </c>
    </row>
    <row r="5" spans="1:28" ht="15" thickBot="1" x14ac:dyDescent="0.4">
      <c r="A5" s="43" t="s">
        <v>35</v>
      </c>
      <c r="B5" s="15">
        <v>27</v>
      </c>
      <c r="C5" s="3">
        <v>124</v>
      </c>
      <c r="D5" s="4">
        <v>835</v>
      </c>
      <c r="E5" s="89">
        <v>851.71891199744641</v>
      </c>
      <c r="F5" s="89">
        <v>3499.8934226900274</v>
      </c>
      <c r="G5" s="122">
        <f t="shared" ref="G5:G14" si="3">F5*100/(E5*C5*$B$1)</f>
        <v>4.0413176854585967E-2</v>
      </c>
      <c r="H5" s="90">
        <f t="shared" si="0"/>
        <v>1.6466360101311981</v>
      </c>
      <c r="I5" s="89">
        <f t="shared" si="1"/>
        <v>1374.9410684595505</v>
      </c>
      <c r="J5" s="104">
        <f t="shared" si="2"/>
        <v>7.27482046803995</v>
      </c>
      <c r="K5" s="41"/>
      <c r="L5" s="41"/>
      <c r="AB5" s="4">
        <v>6.8609833755466587E-2</v>
      </c>
    </row>
    <row r="6" spans="1:28" ht="15" thickBot="1" x14ac:dyDescent="0.4">
      <c r="A6" s="44" t="s">
        <v>36</v>
      </c>
      <c r="B6" s="16">
        <v>7</v>
      </c>
      <c r="C6" s="6">
        <v>124</v>
      </c>
      <c r="D6" s="7">
        <v>269</v>
      </c>
      <c r="E6" s="92">
        <v>1128.7453570807395</v>
      </c>
      <c r="F6" s="92">
        <v>5295.2370216425497</v>
      </c>
      <c r="G6" s="122">
        <f t="shared" si="3"/>
        <v>4.6137482129941607E-2</v>
      </c>
      <c r="H6" s="90">
        <f t="shared" si="0"/>
        <v>1.9845795805798132</v>
      </c>
      <c r="I6" s="89">
        <f t="shared" si="1"/>
        <v>533.8519071759697</v>
      </c>
      <c r="J6" s="104">
        <f t="shared" si="2"/>
        <v>10.89493688114224</v>
      </c>
      <c r="K6" s="41"/>
      <c r="L6" s="41"/>
      <c r="AB6" s="7">
        <v>8.2690815857492217E-2</v>
      </c>
    </row>
    <row r="7" spans="1:28" ht="15" thickBot="1" x14ac:dyDescent="0.4">
      <c r="A7" s="44" t="s">
        <v>45</v>
      </c>
      <c r="B7" s="16">
        <v>2</v>
      </c>
      <c r="C7" s="6">
        <v>247</v>
      </c>
      <c r="D7" s="7">
        <v>28</v>
      </c>
      <c r="E7" s="92">
        <v>3154.2566969241775</v>
      </c>
      <c r="F7" s="92">
        <v>22181.587131383141</v>
      </c>
      <c r="G7" s="122">
        <f t="shared" si="3"/>
        <v>3.4720404648393606E-2</v>
      </c>
      <c r="H7" s="90">
        <f t="shared" si="0"/>
        <v>4.2683448422584149</v>
      </c>
      <c r="I7" s="89">
        <f t="shared" si="1"/>
        <v>119.51365558323562</v>
      </c>
      <c r="J7" s="104">
        <f t="shared" si="2"/>
        <v>8.5366896845168299</v>
      </c>
      <c r="K7" s="41"/>
      <c r="L7" s="41"/>
      <c r="AB7" s="7">
        <v>0.17784770176076731</v>
      </c>
    </row>
    <row r="8" spans="1:28" ht="15" thickBot="1" x14ac:dyDescent="0.4">
      <c r="A8" s="45" t="s">
        <v>37</v>
      </c>
      <c r="B8" s="17">
        <v>11</v>
      </c>
      <c r="C8" s="9">
        <v>278</v>
      </c>
      <c r="D8" s="9">
        <v>146</v>
      </c>
      <c r="E8" s="93">
        <v>6142.7029781851643</v>
      </c>
      <c r="F8" s="93">
        <v>38518.45520337265</v>
      </c>
      <c r="G8" s="122">
        <f t="shared" si="3"/>
        <v>2.7507473094259927E-2</v>
      </c>
      <c r="H8" s="90">
        <f t="shared" si="0"/>
        <v>7.7026707295074353</v>
      </c>
      <c r="I8" s="89">
        <f t="shared" si="1"/>
        <v>1124.5899265080855</v>
      </c>
      <c r="J8" s="104">
        <f t="shared" si="2"/>
        <v>14.605063980624486</v>
      </c>
      <c r="K8" s="41"/>
      <c r="L8" s="41"/>
      <c r="AB8" s="9">
        <v>0.32094461372947647</v>
      </c>
    </row>
    <row r="9" spans="1:28" ht="15" thickBot="1" x14ac:dyDescent="0.4">
      <c r="A9" s="45" t="s">
        <v>38</v>
      </c>
      <c r="B9" s="17">
        <v>15</v>
      </c>
      <c r="C9" s="9">
        <v>275</v>
      </c>
      <c r="D9" s="9">
        <v>148</v>
      </c>
      <c r="E9" s="93">
        <v>8307.0487174293612</v>
      </c>
      <c r="F9" s="93">
        <v>66736.759908197651</v>
      </c>
      <c r="G9" s="122">
        <f t="shared" si="3"/>
        <v>3.5626389692718669E-2</v>
      </c>
      <c r="H9" s="90">
        <f t="shared" si="0"/>
        <v>10.422470479175612</v>
      </c>
      <c r="I9" s="89">
        <f t="shared" si="1"/>
        <v>1542.5256309179906</v>
      </c>
      <c r="J9" s="104">
        <f t="shared" si="2"/>
        <v>14.690720294457053</v>
      </c>
      <c r="K9" s="41"/>
      <c r="L9" s="41"/>
      <c r="AB9" s="9">
        <v>0.43426960329898384</v>
      </c>
    </row>
    <row r="10" spans="1:28" ht="15" thickBot="1" x14ac:dyDescent="0.4">
      <c r="A10" s="46" t="s">
        <v>47</v>
      </c>
      <c r="B10" s="18">
        <v>2</v>
      </c>
      <c r="C10" s="12">
        <v>144</v>
      </c>
      <c r="D10" s="12">
        <v>24</v>
      </c>
      <c r="E10" s="94">
        <v>601.39253528149891</v>
      </c>
      <c r="F10" s="94">
        <v>2851.0777378068001</v>
      </c>
      <c r="G10" s="122">
        <f t="shared" si="3"/>
        <v>4.0148995254505271E-2</v>
      </c>
      <c r="H10" s="90">
        <f t="shared" si="0"/>
        <v>1.3783379231391526</v>
      </c>
      <c r="I10" s="89">
        <f t="shared" si="1"/>
        <v>33.080110155339661</v>
      </c>
      <c r="J10" s="104">
        <f t="shared" si="2"/>
        <v>2.3628650110956899</v>
      </c>
      <c r="K10" s="41"/>
      <c r="L10" s="41"/>
      <c r="AB10" s="12">
        <v>5.7430746797464689E-2</v>
      </c>
    </row>
    <row r="11" spans="1:28" x14ac:dyDescent="0.35">
      <c r="A11" s="41" t="s">
        <v>48</v>
      </c>
      <c r="B11" s="41">
        <v>2</v>
      </c>
      <c r="C11" s="41">
        <v>162</v>
      </c>
      <c r="D11" s="41">
        <v>12</v>
      </c>
      <c r="E11" s="95">
        <v>6328.3019942328165</v>
      </c>
      <c r="F11" s="95">
        <v>19137.737350319429</v>
      </c>
      <c r="G11" s="122">
        <f t="shared" si="3"/>
        <v>2.2765360239558795E-2</v>
      </c>
      <c r="H11" s="90">
        <f t="shared" si="0"/>
        <v>8.2767266420104129</v>
      </c>
      <c r="I11" s="89">
        <f t="shared" si="1"/>
        <v>99.320719704124954</v>
      </c>
      <c r="J11" s="104">
        <f t="shared" si="2"/>
        <v>7.0943371217232114</v>
      </c>
      <c r="K11" s="41"/>
      <c r="L11" s="41"/>
      <c r="AB11" s="41">
        <v>0.3448636100837672</v>
      </c>
    </row>
    <row r="12" spans="1:28" ht="38.25" customHeight="1" x14ac:dyDescent="0.35">
      <c r="A12" s="41" t="s">
        <v>39</v>
      </c>
      <c r="B12" s="41">
        <v>10</v>
      </c>
      <c r="C12" s="41">
        <v>92</v>
      </c>
      <c r="D12" s="41">
        <v>257</v>
      </c>
      <c r="E12" s="95">
        <v>636.8865534771644</v>
      </c>
      <c r="F12" s="95">
        <v>2438.2796332018838</v>
      </c>
      <c r="G12" s="122">
        <f t="shared" si="3"/>
        <v>5.0748095859474235E-2</v>
      </c>
      <c r="H12" s="90">
        <f t="shared" si="0"/>
        <v>1.4697101342081553</v>
      </c>
      <c r="I12" s="89">
        <f t="shared" si="1"/>
        <v>377.71550449149589</v>
      </c>
      <c r="J12" s="104">
        <f t="shared" si="2"/>
        <v>5.3959357784499415</v>
      </c>
      <c r="K12" s="41"/>
      <c r="L12" s="41"/>
      <c r="AB12" s="41">
        <v>6.1237922258673139E-2</v>
      </c>
    </row>
    <row r="13" spans="1:28" x14ac:dyDescent="0.35">
      <c r="A13" s="41" t="s">
        <v>44</v>
      </c>
      <c r="B13" s="41">
        <v>20</v>
      </c>
      <c r="C13" s="41">
        <v>116</v>
      </c>
      <c r="D13" s="41">
        <v>866</v>
      </c>
      <c r="E13" s="95">
        <v>499.97642769429496</v>
      </c>
      <c r="F13" s="95">
        <v>570.04080000000533</v>
      </c>
      <c r="G13" s="122">
        <f t="shared" si="3"/>
        <v>1.1986284180383723E-2</v>
      </c>
      <c r="H13" s="90">
        <f t="shared" si="0"/>
        <v>0.54833333333332479</v>
      </c>
      <c r="I13" s="89">
        <f t="shared" si="1"/>
        <v>474.85666666665929</v>
      </c>
      <c r="J13" s="104">
        <f t="shared" si="2"/>
        <v>3.3918333333332806</v>
      </c>
      <c r="K13" s="41"/>
      <c r="L13" s="41"/>
      <c r="AB13" s="41">
        <v>2.2847222222221866E-2</v>
      </c>
    </row>
    <row r="14" spans="1:28" x14ac:dyDescent="0.35">
      <c r="A14" s="41" t="s">
        <v>46</v>
      </c>
      <c r="B14" s="47">
        <v>1</v>
      </c>
      <c r="C14" s="41">
        <v>34</v>
      </c>
      <c r="D14" s="47">
        <v>56</v>
      </c>
      <c r="E14" s="95">
        <v>164.60956614630601</v>
      </c>
      <c r="F14" s="95">
        <v>304.16040000000027</v>
      </c>
      <c r="G14" s="122">
        <f t="shared" si="3"/>
        <v>6.6275777454171653E-2</v>
      </c>
      <c r="H14" s="90">
        <f t="shared" si="0"/>
        <v>0.54833333333333367</v>
      </c>
      <c r="I14" s="89">
        <f t="shared" si="1"/>
        <v>30.706666666666685</v>
      </c>
      <c r="J14" s="104">
        <f t="shared" si="2"/>
        <v>4.3866666666666694</v>
      </c>
      <c r="K14" s="41"/>
      <c r="L14" s="41"/>
      <c r="AB14" s="41">
        <v>2.2847222222222238E-2</v>
      </c>
    </row>
    <row r="15" spans="1:28" ht="15" thickBot="1" x14ac:dyDescent="0.4">
      <c r="A15" s="56" t="s">
        <v>3</v>
      </c>
      <c r="B15" s="56" t="s">
        <v>12</v>
      </c>
      <c r="C15" s="56" t="s">
        <v>19</v>
      </c>
      <c r="D15" s="56" t="s">
        <v>14</v>
      </c>
      <c r="E15" s="56" t="s">
        <v>9</v>
      </c>
      <c r="F15" s="56" t="s">
        <v>10</v>
      </c>
      <c r="G15" s="135" t="s">
        <v>1</v>
      </c>
      <c r="H15" s="65" t="s">
        <v>11</v>
      </c>
      <c r="I15" s="66" t="s">
        <v>17</v>
      </c>
      <c r="J15" s="51" t="s">
        <v>18</v>
      </c>
      <c r="K15" s="41"/>
      <c r="L15" s="41"/>
    </row>
    <row r="16" spans="1:28" ht="15.5" thickTop="1" thickBot="1" x14ac:dyDescent="0.4">
      <c r="A16" s="57" t="s">
        <v>4</v>
      </c>
      <c r="B16" s="60">
        <f>$B7+$B8+$B9</f>
        <v>28</v>
      </c>
      <c r="C16" s="67">
        <f>($B8*C8+$B9*C9+$B10*C10)/($B8+$B9+$B10)</f>
        <v>266.82142857142856</v>
      </c>
      <c r="D16" s="26">
        <f>(D8+D9+D10)</f>
        <v>318</v>
      </c>
      <c r="E16" s="109">
        <f t="shared" ref="E16:J16" si="4">($B8*E8+$B9*E9+$B10*E10)/($B8+$B9+$B10)</f>
        <v>6906.366021144293</v>
      </c>
      <c r="F16" s="109">
        <f t="shared" si="4"/>
        <v>51087.734333417051</v>
      </c>
      <c r="G16" s="121">
        <f t="shared" si="4"/>
        <v>3.2759858569166064E-2</v>
      </c>
      <c r="H16" s="109">
        <f t="shared" si="4"/>
        <v>8.7079682520890813</v>
      </c>
      <c r="I16" s="109">
        <f>(I8+I9+I10)</f>
        <v>2700.1956675814158</v>
      </c>
      <c r="J16" s="107">
        <f t="shared" si="4"/>
        <v>13.776508508068448</v>
      </c>
      <c r="K16" s="41"/>
      <c r="L16" s="41"/>
    </row>
    <row r="17" spans="1:12" ht="15" thickBot="1" x14ac:dyDescent="0.4">
      <c r="A17" s="58" t="s">
        <v>29</v>
      </c>
      <c r="B17" s="61">
        <f>($B4+$B5+$B6+$B10+$B11)</f>
        <v>45</v>
      </c>
      <c r="C17" s="68">
        <f>($B5*C5+$B6*C6+$B7*C7+$B11*C11+$B12*C12)/($B5+$B6+$B7+$B11+$B12)</f>
        <v>124.04166666666667</v>
      </c>
      <c r="D17" s="7">
        <f>(D5+D6+D7+D11+D12)</f>
        <v>1401</v>
      </c>
      <c r="E17" s="92">
        <f t="shared" ref="E17:J17" si="5">($B5*E5+$B6*E6+$B7*E7+$B11*E11+$B12*E12)/($B5+$B6+$B7+$B11+$B12)</f>
        <v>1171.4918966787889</v>
      </c>
      <c r="F17" s="92">
        <f t="shared" si="5"/>
        <v>4970.5255595740118</v>
      </c>
      <c r="G17" s="131">
        <f t="shared" si="5"/>
        <v>4.2428554965709575E-2</v>
      </c>
      <c r="H17" s="92">
        <f t="shared" si="5"/>
        <v>2.0445515343379221</v>
      </c>
      <c r="I17" s="92">
        <f>(I5+I6+I7+I11+I12)</f>
        <v>2505.3428554143766</v>
      </c>
      <c r="J17" s="8">
        <f t="shared" si="5"/>
        <v>7.4563775458761201</v>
      </c>
      <c r="K17" s="41"/>
      <c r="L17" s="41"/>
    </row>
    <row r="18" spans="1:12" ht="15" thickBot="1" x14ac:dyDescent="0.4">
      <c r="A18" s="59" t="s">
        <v>31</v>
      </c>
      <c r="B18" s="62">
        <f>$B12+$B13</f>
        <v>30</v>
      </c>
      <c r="C18" s="69">
        <f>($B13*C13+$B14*C14)/($B13+$B14)</f>
        <v>112.0952380952381</v>
      </c>
      <c r="D18" s="9">
        <f>(D13+D14)</f>
        <v>922</v>
      </c>
      <c r="E18" s="93">
        <f t="shared" ref="E18:J18" si="6">($B13*E13+$B14*E14)/($B13+$B14)</f>
        <v>484.00657714439069</v>
      </c>
      <c r="F18" s="93">
        <f t="shared" si="6"/>
        <v>557.37982857143368</v>
      </c>
      <c r="G18" s="132">
        <f t="shared" si="6"/>
        <v>1.4571498145802195E-2</v>
      </c>
      <c r="H18" s="93">
        <f t="shared" si="6"/>
        <v>0.54833333333332523</v>
      </c>
      <c r="I18" s="93">
        <f>(I13+I14)</f>
        <v>505.563333333326</v>
      </c>
      <c r="J18" s="11">
        <f t="shared" si="6"/>
        <v>3.439206349206299</v>
      </c>
      <c r="K18" s="41"/>
      <c r="L18" s="41"/>
    </row>
    <row r="19" spans="1:12" x14ac:dyDescent="0.35">
      <c r="A19" s="63" t="s">
        <v>30</v>
      </c>
      <c r="B19" s="64">
        <f>B14</f>
        <v>1</v>
      </c>
      <c r="C19" s="111">
        <f>C14</f>
        <v>34</v>
      </c>
      <c r="D19" s="64">
        <f t="shared" ref="D19:J19" si="7">D14</f>
        <v>56</v>
      </c>
      <c r="E19" s="110">
        <f t="shared" si="7"/>
        <v>164.60956614630601</v>
      </c>
      <c r="F19" s="110">
        <f t="shared" si="7"/>
        <v>304.16040000000027</v>
      </c>
      <c r="G19" s="136">
        <f t="shared" si="7"/>
        <v>6.6275777454171653E-2</v>
      </c>
      <c r="H19" s="110">
        <f t="shared" si="7"/>
        <v>0.54833333333333367</v>
      </c>
      <c r="I19" s="110">
        <f t="shared" si="7"/>
        <v>30.706666666666685</v>
      </c>
      <c r="J19" s="108">
        <f t="shared" si="7"/>
        <v>4.3866666666666694</v>
      </c>
      <c r="K19" s="41"/>
      <c r="L19" s="41"/>
    </row>
    <row r="20" spans="1:12" x14ac:dyDescent="0.35">
      <c r="K20" s="41"/>
      <c r="L20" s="41"/>
    </row>
    <row r="21" spans="1:12" x14ac:dyDescent="0.35">
      <c r="A21" s="41"/>
      <c r="B21" s="41"/>
      <c r="C21" s="41"/>
      <c r="D21" s="41"/>
      <c r="E21" s="41"/>
      <c r="F21" s="41"/>
      <c r="G21" s="41"/>
      <c r="H21" s="41"/>
      <c r="I21" s="41"/>
      <c r="J21" s="41"/>
      <c r="K21" s="41"/>
      <c r="L21" s="41"/>
    </row>
    <row r="22" spans="1:12" x14ac:dyDescent="0.35">
      <c r="A22" s="41"/>
      <c r="B22" s="41"/>
      <c r="C22" s="41"/>
      <c r="D22" s="41"/>
      <c r="E22" s="41"/>
      <c r="F22" s="41"/>
      <c r="G22" s="41"/>
      <c r="H22" s="41"/>
      <c r="I22" s="41"/>
      <c r="J22" s="41"/>
      <c r="K22" s="41"/>
      <c r="L22" s="41"/>
    </row>
    <row r="23" spans="1:12" x14ac:dyDescent="0.35">
      <c r="A23" s="41"/>
      <c r="B23" s="41"/>
      <c r="C23" s="41"/>
      <c r="D23" s="41"/>
      <c r="E23" s="41"/>
      <c r="F23" s="41"/>
      <c r="G23" s="41"/>
      <c r="H23" s="41"/>
      <c r="I23" s="41"/>
      <c r="J23" s="41"/>
      <c r="K23" s="41"/>
      <c r="L23" s="41"/>
    </row>
    <row r="24" spans="1:12" x14ac:dyDescent="0.35">
      <c r="A24" s="41"/>
      <c r="B24" s="41"/>
      <c r="C24" s="41"/>
      <c r="D24" s="41"/>
      <c r="E24" s="41"/>
      <c r="F24" s="41"/>
      <c r="G24" s="41"/>
      <c r="H24" s="41"/>
      <c r="I24" s="41"/>
      <c r="J24" s="41"/>
      <c r="K24" s="41"/>
      <c r="L24" s="41"/>
    </row>
    <row r="25" spans="1:12" x14ac:dyDescent="0.35">
      <c r="A25" s="41"/>
      <c r="B25" s="41"/>
      <c r="C25" s="41"/>
      <c r="D25" s="41"/>
      <c r="E25" s="41"/>
      <c r="F25" s="41"/>
      <c r="G25" s="41"/>
      <c r="H25" s="41"/>
      <c r="I25" s="41"/>
      <c r="J25" s="41"/>
      <c r="K25" s="41"/>
      <c r="L25" s="41"/>
    </row>
    <row r="26" spans="1:12" x14ac:dyDescent="0.35">
      <c r="A26" s="41"/>
      <c r="B26" s="41"/>
      <c r="C26" s="41"/>
      <c r="D26" s="41"/>
      <c r="E26" s="41"/>
      <c r="F26" s="41"/>
      <c r="G26" s="41"/>
      <c r="H26" s="41"/>
      <c r="I26" s="41"/>
      <c r="J26" s="41"/>
      <c r="K26" s="41"/>
      <c r="L26" s="41"/>
    </row>
    <row r="27" spans="1:12" x14ac:dyDescent="0.35">
      <c r="A27" s="41"/>
      <c r="B27" s="41"/>
      <c r="C27" s="41"/>
      <c r="D27" s="41"/>
      <c r="E27" s="41"/>
      <c r="F27" s="41"/>
      <c r="G27" s="41"/>
      <c r="H27" s="41"/>
      <c r="I27" s="41"/>
      <c r="J27" s="41"/>
      <c r="K27" s="41"/>
      <c r="L27" s="41"/>
    </row>
    <row r="28" spans="1:12" x14ac:dyDescent="0.35">
      <c r="A28" s="41"/>
      <c r="B28" s="41"/>
      <c r="C28" s="41"/>
      <c r="D28" s="41"/>
      <c r="E28" s="41"/>
      <c r="F28" s="41"/>
      <c r="G28" s="41"/>
      <c r="H28" s="41"/>
      <c r="I28" s="41"/>
      <c r="J28" s="41"/>
      <c r="K28" s="41"/>
      <c r="L28" s="41"/>
    </row>
    <row r="29" spans="1:12" x14ac:dyDescent="0.35">
      <c r="A29" s="41"/>
      <c r="B29" s="41"/>
      <c r="C29" s="41"/>
      <c r="D29" s="41"/>
      <c r="E29" s="41"/>
      <c r="F29" s="41"/>
      <c r="G29" s="41"/>
      <c r="H29" s="41"/>
      <c r="I29" s="41"/>
      <c r="J29" s="41"/>
      <c r="K29" s="41"/>
      <c r="L29" s="41"/>
    </row>
    <row r="30" spans="1:12" x14ac:dyDescent="0.35">
      <c r="A30" s="41"/>
      <c r="B30" s="41"/>
      <c r="C30" s="41"/>
      <c r="D30" s="41"/>
      <c r="E30" s="41"/>
      <c r="F30" s="41"/>
      <c r="G30" s="41"/>
      <c r="H30" s="41"/>
      <c r="I30" s="41"/>
      <c r="J30" s="41"/>
      <c r="K30" s="41"/>
      <c r="L30" s="41"/>
    </row>
    <row r="31" spans="1:12" x14ac:dyDescent="0.35">
      <c r="A31" s="41"/>
      <c r="B31" s="41"/>
      <c r="C31" s="41"/>
      <c r="D31" s="41"/>
      <c r="E31" s="41"/>
      <c r="F31" s="41"/>
      <c r="G31" s="41"/>
      <c r="H31" s="41"/>
      <c r="I31" s="41"/>
      <c r="J31" s="41"/>
      <c r="K31" s="41"/>
      <c r="L31" s="41"/>
    </row>
    <row r="32" spans="1:12" x14ac:dyDescent="0.35">
      <c r="A32" s="41"/>
      <c r="B32" s="41"/>
      <c r="C32" s="41"/>
      <c r="D32" s="41"/>
      <c r="E32" s="41"/>
      <c r="F32" s="41"/>
      <c r="G32" s="41"/>
      <c r="H32" s="41"/>
      <c r="I32" s="41"/>
      <c r="J32" s="41"/>
      <c r="K32" s="41"/>
      <c r="L32" s="41"/>
    </row>
    <row r="33" spans="1:12" x14ac:dyDescent="0.35">
      <c r="A33" s="41"/>
      <c r="B33" s="41"/>
      <c r="C33" s="41"/>
      <c r="D33" s="41"/>
      <c r="E33" s="41"/>
      <c r="F33" s="41"/>
      <c r="G33" s="41"/>
      <c r="H33" s="41"/>
      <c r="I33" s="41"/>
      <c r="J33" s="41"/>
      <c r="K33" s="41"/>
      <c r="L33" s="41"/>
    </row>
    <row r="34" spans="1:12" x14ac:dyDescent="0.35">
      <c r="A34" s="41"/>
      <c r="B34" s="41"/>
      <c r="C34" s="41"/>
      <c r="D34" s="41"/>
      <c r="E34" s="41"/>
      <c r="F34" s="41"/>
      <c r="G34" s="41"/>
      <c r="H34" s="41"/>
      <c r="I34" s="41"/>
      <c r="J34" s="41"/>
      <c r="K34" s="41"/>
      <c r="L34" s="41"/>
    </row>
    <row r="35" spans="1:12" x14ac:dyDescent="0.35">
      <c r="A35" s="41"/>
      <c r="B35" s="41"/>
      <c r="C35" s="41"/>
      <c r="D35" s="41"/>
      <c r="E35" s="41"/>
      <c r="F35" s="41"/>
      <c r="G35" s="41"/>
      <c r="H35" s="41"/>
      <c r="I35" s="41"/>
      <c r="J35" s="41"/>
      <c r="K35" s="41"/>
      <c r="L35" s="41"/>
    </row>
    <row r="36" spans="1:12" x14ac:dyDescent="0.35">
      <c r="A36" s="41"/>
      <c r="B36" s="41"/>
      <c r="C36" s="41"/>
      <c r="D36" s="41"/>
      <c r="E36" s="41"/>
      <c r="F36" s="41"/>
      <c r="G36" s="41"/>
      <c r="H36" s="41"/>
      <c r="I36" s="41"/>
      <c r="J36" s="4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topLeftCell="A3" zoomScaleNormal="100" workbookViewId="0">
      <selection activeCell="A12" sqref="A12"/>
    </sheetView>
  </sheetViews>
  <sheetFormatPr baseColWidth="10" defaultColWidth="11.453125" defaultRowHeight="14.5" x14ac:dyDescent="0.35"/>
  <cols>
    <col min="1" max="1" width="27.7265625" style="2" customWidth="1"/>
    <col min="2" max="2" width="13" style="2" customWidth="1"/>
    <col min="3" max="3" width="15"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21" ht="15.5" thickTop="1" thickBot="1" x14ac:dyDescent="0.4">
      <c r="A1" s="24" t="s">
        <v>8</v>
      </c>
      <c r="B1" s="30">
        <v>83</v>
      </c>
      <c r="C1" s="48"/>
      <c r="D1" s="41"/>
      <c r="E1" s="41"/>
      <c r="F1" s="41"/>
      <c r="G1" s="41"/>
      <c r="H1" s="41"/>
      <c r="I1" s="41"/>
      <c r="J1" s="41"/>
    </row>
    <row r="2" spans="1:21" ht="15.5" thickTop="1" thickBot="1" x14ac:dyDescent="0.4">
      <c r="A2" s="41"/>
      <c r="B2" s="41"/>
      <c r="C2" s="41"/>
      <c r="D2" s="41"/>
      <c r="E2" s="41"/>
      <c r="F2" s="41"/>
      <c r="G2" s="41"/>
      <c r="H2" s="41"/>
      <c r="I2" s="41"/>
      <c r="J2" s="41"/>
    </row>
    <row r="3" spans="1:21" ht="15.5" thickTop="1" thickBot="1" x14ac:dyDescent="0.4">
      <c r="A3" s="50" t="s">
        <v>2</v>
      </c>
      <c r="B3" s="50" t="s">
        <v>12</v>
      </c>
      <c r="C3" s="50" t="s">
        <v>0</v>
      </c>
      <c r="D3" s="50" t="s">
        <v>13</v>
      </c>
      <c r="E3" s="50" t="s">
        <v>9</v>
      </c>
      <c r="F3" s="50" t="s">
        <v>10</v>
      </c>
      <c r="G3" s="50" t="s">
        <v>1</v>
      </c>
      <c r="H3" s="50" t="s">
        <v>11</v>
      </c>
      <c r="I3" s="50" t="s">
        <v>15</v>
      </c>
      <c r="J3" s="50" t="s">
        <v>16</v>
      </c>
    </row>
    <row r="4" spans="1:21" ht="15" thickBot="1" x14ac:dyDescent="0.4">
      <c r="A4" s="42" t="s">
        <v>34</v>
      </c>
      <c r="B4" s="15">
        <v>7</v>
      </c>
      <c r="C4" s="3">
        <v>156</v>
      </c>
      <c r="D4" s="3">
        <v>297</v>
      </c>
      <c r="E4" s="89">
        <v>647.73537202785633</v>
      </c>
      <c r="F4" s="90">
        <v>2756.0610714257955</v>
      </c>
      <c r="G4" s="122">
        <f t="shared" ref="G4:G13" si="0">F4*100/(E4*C4*$B$1)</f>
        <v>3.2861586920097184E-2</v>
      </c>
      <c r="H4" s="90">
        <f t="shared" ref="H4:H13" si="1">U4*24</f>
        <v>1.4014217559224953</v>
      </c>
      <c r="I4" s="89">
        <f>Tabla3[[#This Row],[Columna8]]*Tabla3[[#This Row],[Columna4]]</f>
        <v>416.22226150898109</v>
      </c>
      <c r="J4" s="105">
        <f t="shared" ref="J4:J13" si="2">I4/(7*B4)</f>
        <v>8.4943318675302262</v>
      </c>
      <c r="U4" s="4">
        <v>5.8392573163437302E-2</v>
      </c>
    </row>
    <row r="5" spans="1:21" ht="15" thickBot="1" x14ac:dyDescent="0.4">
      <c r="A5" s="43" t="s">
        <v>35</v>
      </c>
      <c r="B5" s="15">
        <v>28</v>
      </c>
      <c r="C5" s="3">
        <v>124</v>
      </c>
      <c r="D5" s="3">
        <v>840</v>
      </c>
      <c r="E5" s="89">
        <v>938.6761408993699</v>
      </c>
      <c r="F5" s="89">
        <v>3731.2078977026849</v>
      </c>
      <c r="G5" s="122">
        <f t="shared" si="0"/>
        <v>3.8621922787089508E-2</v>
      </c>
      <c r="H5" s="90">
        <f t="shared" si="1"/>
        <v>1.7517012558277871</v>
      </c>
      <c r="I5" s="89">
        <f>Tabla3[[#This Row],[Columna8]]*Tabla3[[#This Row],[Columna4]]</f>
        <v>1471.4290548953411</v>
      </c>
      <c r="J5" s="105">
        <f>I5/(7*B5)</f>
        <v>7.5072910964048019</v>
      </c>
      <c r="U5" s="4">
        <v>7.2987552326157792E-2</v>
      </c>
    </row>
    <row r="6" spans="1:21" ht="15" thickBot="1" x14ac:dyDescent="0.4">
      <c r="A6" s="44" t="s">
        <v>36</v>
      </c>
      <c r="B6" s="16">
        <v>7</v>
      </c>
      <c r="C6" s="6">
        <v>124</v>
      </c>
      <c r="D6" s="6">
        <v>268</v>
      </c>
      <c r="E6" s="92">
        <v>1147.1541259047065</v>
      </c>
      <c r="F6" s="92">
        <v>5367.0316667890093</v>
      </c>
      <c r="G6" s="122">
        <f t="shared" si="0"/>
        <v>4.5458239114395921E-2</v>
      </c>
      <c r="H6" s="86">
        <f t="shared" si="1"/>
        <v>2.0057916202146782</v>
      </c>
      <c r="I6" s="92">
        <f>Tabla3[[#This Row],[Columna8]]*Tabla3[[#This Row],[Columna4]]</f>
        <v>537.55215421753371</v>
      </c>
      <c r="J6" s="105">
        <f t="shared" si="2"/>
        <v>10.970452126888443</v>
      </c>
      <c r="U6" s="7">
        <v>8.3574650842278261E-2</v>
      </c>
    </row>
    <row r="7" spans="1:21" ht="15" thickBot="1" x14ac:dyDescent="0.4">
      <c r="A7" s="44" t="s">
        <v>45</v>
      </c>
      <c r="B7" s="16">
        <v>1</v>
      </c>
      <c r="C7" s="6">
        <v>247</v>
      </c>
      <c r="D7" s="6">
        <v>4</v>
      </c>
      <c r="E7" s="92">
        <v>9588.5992298587425</v>
      </c>
      <c r="F7" s="92">
        <v>62007.668951439919</v>
      </c>
      <c r="G7" s="122">
        <f t="shared" si="0"/>
        <v>3.1543885861797738E-2</v>
      </c>
      <c r="H7" s="86">
        <f t="shared" si="1"/>
        <v>11.661207265964313</v>
      </c>
      <c r="I7" s="92">
        <f>Tabla3[[#This Row],[Columna8]]*Tabla3[[#This Row],[Columna4]]</f>
        <v>46.644829063857252</v>
      </c>
      <c r="J7" s="105">
        <f t="shared" si="2"/>
        <v>6.6635470091224649</v>
      </c>
      <c r="U7" s="7">
        <v>0.48588363608184637</v>
      </c>
    </row>
    <row r="8" spans="1:21" ht="15" thickBot="1" x14ac:dyDescent="0.4">
      <c r="A8" s="45" t="s">
        <v>37</v>
      </c>
      <c r="B8" s="17">
        <v>12</v>
      </c>
      <c r="C8" s="9">
        <v>278</v>
      </c>
      <c r="D8" s="9">
        <v>170</v>
      </c>
      <c r="E8" s="93">
        <v>6097.3072073991489</v>
      </c>
      <c r="F8" s="93">
        <v>38310.350310587826</v>
      </c>
      <c r="G8" s="122">
        <f t="shared" si="0"/>
        <v>2.7230471280925431E-2</v>
      </c>
      <c r="H8" s="87">
        <f t="shared" si="1"/>
        <v>7.650615837104521</v>
      </c>
      <c r="I8" s="93">
        <f>Tabla3[[#This Row],[Columna8]]*Tabla3[[#This Row],[Columna4]]</f>
        <v>1300.6046923077686</v>
      </c>
      <c r="J8" s="105">
        <f t="shared" si="2"/>
        <v>15.483389194140102</v>
      </c>
      <c r="U8" s="9">
        <v>0.31877565987935502</v>
      </c>
    </row>
    <row r="9" spans="1:21" ht="15" thickBot="1" x14ac:dyDescent="0.4">
      <c r="A9" s="45" t="s">
        <v>38</v>
      </c>
      <c r="B9" s="17">
        <v>15</v>
      </c>
      <c r="C9" s="9">
        <v>275</v>
      </c>
      <c r="D9" s="9">
        <v>164</v>
      </c>
      <c r="E9" s="93">
        <v>7932.2663996964193</v>
      </c>
      <c r="F9" s="93">
        <v>63766.453295410043</v>
      </c>
      <c r="G9" s="122">
        <f t="shared" si="0"/>
        <v>3.5219580974456856E-2</v>
      </c>
      <c r="H9" s="87">
        <f t="shared" si="1"/>
        <v>9.9815289735075154</v>
      </c>
      <c r="I9" s="93">
        <f>Tabla3[[#This Row],[Columna8]]*Tabla3[[#This Row],[Columna4]]</f>
        <v>1636.9707516552326</v>
      </c>
      <c r="J9" s="105">
        <f t="shared" si="2"/>
        <v>15.590197634811739</v>
      </c>
      <c r="U9" s="9">
        <v>0.41589704056281313</v>
      </c>
    </row>
    <row r="10" spans="1:21" ht="15" thickBot="1" x14ac:dyDescent="0.4">
      <c r="A10" s="46" t="s">
        <v>47</v>
      </c>
      <c r="B10" s="18">
        <v>2</v>
      </c>
      <c r="C10" s="12">
        <v>144</v>
      </c>
      <c r="D10" s="41">
        <v>17</v>
      </c>
      <c r="E10" s="94">
        <v>534.78599901052041</v>
      </c>
      <c r="F10" s="94">
        <v>2656.3677824364527</v>
      </c>
      <c r="G10" s="122">
        <f t="shared" si="0"/>
        <v>4.155923944461988E-2</v>
      </c>
      <c r="H10" s="106">
        <f t="shared" si="1"/>
        <v>1.2956915441206676</v>
      </c>
      <c r="I10" s="94">
        <f>Tabla3[[#This Row],[Columna8]]*Tabla3[[#This Row],[Columna4]]</f>
        <v>22.026756250051349</v>
      </c>
      <c r="J10" s="105">
        <f t="shared" si="2"/>
        <v>1.573339732146525</v>
      </c>
      <c r="U10" s="12">
        <v>5.3987147671694484E-2</v>
      </c>
    </row>
    <row r="11" spans="1:21" x14ac:dyDescent="0.35">
      <c r="A11" s="41" t="s">
        <v>43</v>
      </c>
      <c r="B11" s="41">
        <v>2</v>
      </c>
      <c r="C11" s="41">
        <v>68</v>
      </c>
      <c r="D11" s="12">
        <v>56</v>
      </c>
      <c r="E11" s="95">
        <v>164.60956614630601</v>
      </c>
      <c r="F11" s="95">
        <v>242.07840000000019</v>
      </c>
      <c r="G11" s="128">
        <f t="shared" si="0"/>
        <v>2.6056373139365121E-2</v>
      </c>
      <c r="H11" s="95">
        <f t="shared" si="1"/>
        <v>0.54833333333333367</v>
      </c>
      <c r="I11" s="95">
        <f>Tabla3[[#This Row],[Columna8]]*Tabla3[[#This Row],[Columna4]]</f>
        <v>30.706666666666685</v>
      </c>
      <c r="J11" s="105">
        <f t="shared" si="2"/>
        <v>2.1933333333333347</v>
      </c>
      <c r="U11" s="41">
        <v>2.2847222222222238E-2</v>
      </c>
    </row>
    <row r="12" spans="1:21" ht="15" customHeight="1" x14ac:dyDescent="0.35">
      <c r="A12" s="41" t="s">
        <v>39</v>
      </c>
      <c r="B12" s="41">
        <v>6</v>
      </c>
      <c r="C12" s="41">
        <v>92</v>
      </c>
      <c r="D12" s="41">
        <v>248</v>
      </c>
      <c r="E12" s="95">
        <v>742.21921671328323</v>
      </c>
      <c r="F12" s="95">
        <v>2704.4696474545067</v>
      </c>
      <c r="G12" s="128">
        <f t="shared" si="0"/>
        <v>4.771819389502413E-2</v>
      </c>
      <c r="H12" s="95">
        <f t="shared" si="1"/>
        <v>1.6044924650316501</v>
      </c>
      <c r="I12" s="95">
        <f>Tabla3[[#This Row],[Columna8]]*Tabla3[[#This Row],[Columna4]]</f>
        <v>397.91413132784925</v>
      </c>
      <c r="J12" s="105">
        <f t="shared" si="2"/>
        <v>9.4741459839964115</v>
      </c>
      <c r="U12" s="41">
        <v>6.6853852709652092E-2</v>
      </c>
    </row>
    <row r="13" spans="1:21" x14ac:dyDescent="0.35">
      <c r="A13" s="41" t="s">
        <v>44</v>
      </c>
      <c r="B13" s="41">
        <v>20</v>
      </c>
      <c r="C13" s="41">
        <v>116</v>
      </c>
      <c r="D13" s="41">
        <v>852</v>
      </c>
      <c r="E13" s="95">
        <v>452.88762477226163</v>
      </c>
      <c r="F13" s="95">
        <v>570.04080000000511</v>
      </c>
      <c r="G13" s="128">
        <f t="shared" si="0"/>
        <v>1.3073124755298555E-2</v>
      </c>
      <c r="H13" s="95">
        <f t="shared" si="1"/>
        <v>0.5483333333333249</v>
      </c>
      <c r="I13" s="95">
        <f>Tabla3[[#This Row],[Columna8]]*Tabla3[[#This Row],[Columna4]]</f>
        <v>467.17999999999279</v>
      </c>
      <c r="J13" s="105">
        <f t="shared" si="2"/>
        <v>3.3369999999999487</v>
      </c>
      <c r="U13" s="41">
        <v>2.284722222222187E-2</v>
      </c>
    </row>
    <row r="14" spans="1:21" x14ac:dyDescent="0.35">
      <c r="A14" s="41"/>
      <c r="B14" s="41"/>
      <c r="C14" s="47"/>
      <c r="D14" s="41"/>
      <c r="E14" s="41"/>
      <c r="F14" s="41"/>
      <c r="G14" s="128"/>
      <c r="H14" s="41"/>
      <c r="I14" s="41"/>
      <c r="J14" s="41"/>
    </row>
    <row r="15" spans="1:21" x14ac:dyDescent="0.35">
      <c r="G15" s="120"/>
    </row>
    <row r="16" spans="1:21" ht="29.5" thickBot="1" x14ac:dyDescent="0.4">
      <c r="A16" s="51" t="s">
        <v>3</v>
      </c>
      <c r="B16" s="51" t="s">
        <v>12</v>
      </c>
      <c r="C16" s="52" t="s">
        <v>19</v>
      </c>
      <c r="D16" s="52" t="s">
        <v>14</v>
      </c>
      <c r="E16" s="51" t="s">
        <v>9</v>
      </c>
      <c r="F16" s="51" t="s">
        <v>10</v>
      </c>
      <c r="G16" s="134" t="s">
        <v>1</v>
      </c>
      <c r="H16" s="51" t="s">
        <v>11</v>
      </c>
      <c r="I16" s="52" t="s">
        <v>17</v>
      </c>
      <c r="J16" s="51" t="s">
        <v>18</v>
      </c>
    </row>
    <row r="17" spans="1:10" ht="15.5" thickTop="1" thickBot="1" x14ac:dyDescent="0.4">
      <c r="A17" s="49" t="s">
        <v>4</v>
      </c>
      <c r="B17" s="27">
        <f>$B7+$B8+$B9</f>
        <v>28</v>
      </c>
      <c r="C17" s="102">
        <f>($B7*C7+$B8*C8+$B9*C9)/($B7+$B8+$B9)</f>
        <v>275.28571428571428</v>
      </c>
      <c r="D17" s="25">
        <f>(1*D7+1*D8+D9)</f>
        <v>338</v>
      </c>
      <c r="E17" s="101">
        <f t="shared" ref="E17:J17" si="3">($B7*E7+$B8*E8+$B9*E9)/($B7+$B8+$B9)</f>
        <v>7205.0100612176711</v>
      </c>
      <c r="F17" s="101">
        <f t="shared" si="3"/>
        <v>52793.881146773012</v>
      </c>
      <c r="G17" s="129">
        <f t="shared" si="3"/>
        <v>3.1664401994634134E-2</v>
      </c>
      <c r="H17" s="101">
        <f t="shared" si="3"/>
        <v>9.0425547112082594</v>
      </c>
      <c r="I17" s="101">
        <f>(I7+I8+I9)</f>
        <v>2984.2202730268582</v>
      </c>
      <c r="J17" s="101">
        <f t="shared" si="3"/>
        <v>15.225613637892135</v>
      </c>
    </row>
    <row r="18" spans="1:10" ht="15" thickBot="1" x14ac:dyDescent="0.4">
      <c r="A18" s="44" t="s">
        <v>29</v>
      </c>
      <c r="B18" s="16">
        <f>$B4+$B5+$B6+$B10</f>
        <v>44</v>
      </c>
      <c r="C18" s="97">
        <f>($B4*C4+$B5*C5+$B6*C6+$B10*C10)/($B4+$B5+$B6+$B10)</f>
        <v>130</v>
      </c>
      <c r="D18" s="6">
        <f>(1*D4+D5+D6+D10)</f>
        <v>1422</v>
      </c>
      <c r="E18" s="86">
        <f t="shared" ref="E18:J18" si="4">($B4*E4+$B5*E5+$B6*E6+$B10*E10)/($B4+$B5+$B6+$B10)</f>
        <v>907.19841883480319</v>
      </c>
      <c r="F18" s="86">
        <f t="shared" si="4"/>
        <v>3787.4592242739031</v>
      </c>
      <c r="G18" s="125">
        <f t="shared" si="4"/>
        <v>3.8926615890209036E-2</v>
      </c>
      <c r="H18" s="86">
        <f t="shared" si="4"/>
        <v>1.7156707246449905</v>
      </c>
      <c r="I18" s="86">
        <f>(I4+I5+I6+I10)</f>
        <v>2447.2302268719072</v>
      </c>
      <c r="J18" s="86">
        <f t="shared" si="4"/>
        <v>7.9455526846490505</v>
      </c>
    </row>
    <row r="19" spans="1:10" ht="15" thickBot="1" x14ac:dyDescent="0.4">
      <c r="A19" s="45" t="s">
        <v>31</v>
      </c>
      <c r="B19" s="17">
        <f>($B12+$B13)</f>
        <v>26</v>
      </c>
      <c r="C19" s="98">
        <f>($B12*C12+$B13*C13)/($B12+$B13)</f>
        <v>110.46153846153847</v>
      </c>
      <c r="D19" s="10">
        <f>(D12+D13)</f>
        <v>1100</v>
      </c>
      <c r="E19" s="87">
        <f t="shared" ref="E19:H19" si="5">($B12*E12+$B13*E13)/($B12+$B13)</f>
        <v>519.65645368172818</v>
      </c>
      <c r="F19" s="87">
        <f t="shared" si="5"/>
        <v>1062.6013032587362</v>
      </c>
      <c r="G19" s="126">
        <f t="shared" si="5"/>
        <v>2.106814071061984E-2</v>
      </c>
      <c r="H19" s="87">
        <f t="shared" si="5"/>
        <v>0.79206236372524608</v>
      </c>
      <c r="I19" s="87">
        <f>(I12+I13)</f>
        <v>865.09413132784198</v>
      </c>
      <c r="J19" s="87">
        <f>($B12*J12+$B13*J13)/($B12+$B13)</f>
        <v>4.7532644578452858</v>
      </c>
    </row>
    <row r="20" spans="1:10" ht="15" thickBot="1" x14ac:dyDescent="0.4">
      <c r="A20" s="46" t="s">
        <v>30</v>
      </c>
      <c r="B20" s="18">
        <f>B11</f>
        <v>2</v>
      </c>
      <c r="C20" s="99">
        <f t="shared" ref="C20:J20" si="6">C11</f>
        <v>68</v>
      </c>
      <c r="D20" s="18">
        <f t="shared" si="6"/>
        <v>56</v>
      </c>
      <c r="E20" s="88">
        <f t="shared" si="6"/>
        <v>164.60956614630601</v>
      </c>
      <c r="F20" s="88">
        <f t="shared" si="6"/>
        <v>242.07840000000019</v>
      </c>
      <c r="G20" s="127">
        <f t="shared" si="6"/>
        <v>2.6056373139365121E-2</v>
      </c>
      <c r="H20" s="88">
        <f t="shared" si="6"/>
        <v>0.54833333333333367</v>
      </c>
      <c r="I20" s="88">
        <f t="shared" si="6"/>
        <v>30.706666666666685</v>
      </c>
      <c r="J20" s="88">
        <f t="shared" si="6"/>
        <v>2.1933333333333347</v>
      </c>
    </row>
    <row r="21" spans="1:10" x14ac:dyDescent="0.35">
      <c r="A21" s="41"/>
      <c r="B21" s="41"/>
      <c r="C21" s="41"/>
      <c r="D21" s="41"/>
      <c r="E21" s="41"/>
      <c r="F21" s="41"/>
      <c r="G21" s="41"/>
      <c r="H21" s="41"/>
      <c r="I21" s="41"/>
      <c r="J21" s="41"/>
    </row>
    <row r="22" spans="1:10" x14ac:dyDescent="0.35">
      <c r="A22" s="41"/>
      <c r="B22" s="41"/>
      <c r="C22" s="41"/>
      <c r="D22" s="41"/>
      <c r="E22" s="41"/>
      <c r="F22" s="41"/>
      <c r="G22" s="41"/>
      <c r="H22" s="41"/>
      <c r="I22" s="41"/>
      <c r="J22" s="41"/>
    </row>
    <row r="23" spans="1:10" x14ac:dyDescent="0.35">
      <c r="A23" s="41"/>
      <c r="B23" s="41"/>
      <c r="C23" s="41"/>
      <c r="D23" s="41"/>
      <c r="E23" s="41"/>
      <c r="F23" s="41"/>
      <c r="G23" s="41"/>
      <c r="H23" s="41"/>
      <c r="I23" s="41"/>
      <c r="J23" s="41"/>
    </row>
    <row r="24" spans="1:10" x14ac:dyDescent="0.35">
      <c r="A24" s="41"/>
      <c r="B24" s="41"/>
      <c r="C24" s="41"/>
      <c r="D24" s="41"/>
      <c r="E24" s="41"/>
      <c r="F24" s="41"/>
      <c r="G24" s="41"/>
      <c r="H24" s="41"/>
      <c r="I24" s="41"/>
      <c r="J24" s="41"/>
    </row>
    <row r="25" spans="1:10" x14ac:dyDescent="0.35">
      <c r="A25" s="41"/>
      <c r="B25" s="41"/>
      <c r="C25" s="41"/>
      <c r="D25" s="41"/>
      <c r="E25" s="41"/>
      <c r="F25" s="41"/>
      <c r="G25" s="41"/>
      <c r="H25" s="41"/>
      <c r="I25" s="41"/>
      <c r="J25" s="41"/>
    </row>
    <row r="26" spans="1:10" x14ac:dyDescent="0.35">
      <c r="A26" s="41"/>
      <c r="B26" s="41"/>
      <c r="C26" s="41"/>
      <c r="D26" s="41"/>
      <c r="E26" s="41"/>
      <c r="F26" s="41"/>
      <c r="G26" s="41"/>
      <c r="H26" s="41"/>
      <c r="I26" s="41"/>
      <c r="J26" s="41"/>
    </row>
    <row r="27" spans="1:10" x14ac:dyDescent="0.35">
      <c r="A27" s="41"/>
      <c r="B27" s="41"/>
      <c r="C27" s="41"/>
      <c r="D27" s="41"/>
      <c r="E27" s="41"/>
      <c r="F27" s="41"/>
      <c r="G27" s="41"/>
      <c r="H27" s="41"/>
      <c r="I27" s="41"/>
      <c r="J27" s="41"/>
    </row>
    <row r="28" spans="1:10" x14ac:dyDescent="0.35">
      <c r="A28" s="41"/>
      <c r="B28" s="41"/>
      <c r="C28" s="41"/>
      <c r="D28" s="41"/>
      <c r="E28" s="41"/>
      <c r="F28" s="41"/>
      <c r="G28" s="41"/>
      <c r="H28" s="41"/>
      <c r="I28" s="41"/>
      <c r="J28" s="41"/>
    </row>
    <row r="29" spans="1:10" x14ac:dyDescent="0.35">
      <c r="A29" s="41"/>
      <c r="B29" s="41"/>
      <c r="C29" s="41"/>
      <c r="D29" s="41"/>
      <c r="E29" s="41"/>
      <c r="F29" s="41"/>
      <c r="G29" s="41"/>
      <c r="H29" s="41"/>
      <c r="I29" s="41"/>
      <c r="J29" s="41"/>
    </row>
    <row r="30" spans="1:10" x14ac:dyDescent="0.35">
      <c r="A30" s="41"/>
      <c r="B30" s="41"/>
      <c r="C30" s="41"/>
      <c r="D30" s="41"/>
      <c r="E30" s="41"/>
      <c r="F30" s="41"/>
      <c r="G30" s="41"/>
      <c r="H30" s="41"/>
      <c r="I30" s="41"/>
      <c r="J30" s="4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zoomScale="70" zoomScaleNormal="70" workbookViewId="0">
      <selection activeCell="G4" sqref="G4:G19"/>
    </sheetView>
  </sheetViews>
  <sheetFormatPr baseColWidth="10" defaultColWidth="11.453125" defaultRowHeight="14.5" x14ac:dyDescent="0.35"/>
  <cols>
    <col min="1" max="1" width="27.7265625" style="2" customWidth="1"/>
    <col min="2" max="2" width="11" style="2" customWidth="1"/>
    <col min="3" max="3" width="12"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26" ht="15.5" thickTop="1" thickBot="1" x14ac:dyDescent="0.4">
      <c r="A1" s="24" t="s">
        <v>8</v>
      </c>
      <c r="B1" s="30">
        <v>77.3</v>
      </c>
      <c r="C1" s="48"/>
      <c r="D1" s="41"/>
      <c r="E1" s="41"/>
      <c r="F1" s="41"/>
      <c r="G1" s="41"/>
      <c r="H1" s="41"/>
      <c r="I1" s="41"/>
      <c r="J1" s="41"/>
      <c r="K1" s="41"/>
    </row>
    <row r="2" spans="1:26" ht="15.5" thickTop="1" thickBot="1" x14ac:dyDescent="0.4">
      <c r="A2" s="41"/>
      <c r="B2" s="41"/>
      <c r="C2" s="41"/>
      <c r="D2" s="41"/>
      <c r="E2" s="41"/>
      <c r="F2" s="41"/>
      <c r="G2" s="41"/>
      <c r="H2" s="41"/>
      <c r="I2" s="41"/>
      <c r="J2" s="41"/>
      <c r="K2" s="41"/>
    </row>
    <row r="3" spans="1:26" ht="15.5" thickTop="1" thickBot="1" x14ac:dyDescent="0.4">
      <c r="A3" s="50" t="s">
        <v>2</v>
      </c>
      <c r="B3" s="50" t="s">
        <v>12</v>
      </c>
      <c r="C3" s="50" t="s">
        <v>0</v>
      </c>
      <c r="D3" s="50" t="s">
        <v>13</v>
      </c>
      <c r="E3" s="50" t="s">
        <v>9</v>
      </c>
      <c r="F3" s="50" t="s">
        <v>10</v>
      </c>
      <c r="G3" s="50" t="s">
        <v>1</v>
      </c>
      <c r="H3" s="50" t="s">
        <v>11</v>
      </c>
      <c r="I3" s="50" t="s">
        <v>15</v>
      </c>
      <c r="J3" s="50" t="s">
        <v>16</v>
      </c>
      <c r="K3" s="41"/>
    </row>
    <row r="4" spans="1:26" ht="15" thickBot="1" x14ac:dyDescent="0.4">
      <c r="A4" s="42" t="s">
        <v>34</v>
      </c>
      <c r="B4" s="15">
        <v>5</v>
      </c>
      <c r="C4" s="3">
        <v>156</v>
      </c>
      <c r="D4" s="3">
        <v>186</v>
      </c>
      <c r="E4" s="89">
        <v>726.05398558203331</v>
      </c>
      <c r="F4" s="90">
        <v>2944.2792348491839</v>
      </c>
      <c r="G4" s="122">
        <f t="shared" ref="G4:G13" si="0">F4*100/(E4*C4*$B$1)</f>
        <v>3.3628383382672357E-2</v>
      </c>
      <c r="H4" s="90">
        <f t="shared" ref="H4:H13" si="1">Z4*24</f>
        <v>1.4964674031115215</v>
      </c>
      <c r="I4" s="89">
        <f>Tabla4[[#This Row],[Columna8]]*Tabla4[[#This Row],[Columna4]]</f>
        <v>278.34293697874301</v>
      </c>
      <c r="J4" s="105">
        <f>Tabla4[[#This Row],[Columna9]]/(7*Tabla4[[#This Row],[Columna2]])</f>
        <v>7.9526553422498001</v>
      </c>
      <c r="K4" s="41"/>
      <c r="Z4" s="4">
        <v>6.235280846298006E-2</v>
      </c>
    </row>
    <row r="5" spans="1:26" ht="15" thickBot="1" x14ac:dyDescent="0.4">
      <c r="A5" s="43" t="s">
        <v>35</v>
      </c>
      <c r="B5" s="15">
        <v>29</v>
      </c>
      <c r="C5" s="3">
        <v>124</v>
      </c>
      <c r="D5" s="4">
        <v>946</v>
      </c>
      <c r="E5" s="89">
        <v>872.54518413097105</v>
      </c>
      <c r="F5" s="89">
        <v>3559.5333981858989</v>
      </c>
      <c r="G5" s="122">
        <f t="shared" si="0"/>
        <v>4.2560230095463801E-2</v>
      </c>
      <c r="H5" s="90">
        <f t="shared" si="1"/>
        <v>1.6712611428357116</v>
      </c>
      <c r="I5" s="89">
        <f>Tabla4[[#This Row],[Columna8]]*Tabla4[[#This Row],[Columna4]]</f>
        <v>1581.0130411225832</v>
      </c>
      <c r="J5" s="105">
        <f>Tabla4[[#This Row],[Columna9]]/(7*Tabla4[[#This Row],[Columna2]])</f>
        <v>7.7882415818846464</v>
      </c>
      <c r="K5" s="41"/>
      <c r="Z5" s="4">
        <v>6.9635880951487983E-2</v>
      </c>
    </row>
    <row r="6" spans="1:26" ht="15" thickBot="1" x14ac:dyDescent="0.4">
      <c r="A6" s="44" t="s">
        <v>36</v>
      </c>
      <c r="B6" s="16">
        <v>9</v>
      </c>
      <c r="C6" s="6">
        <v>124</v>
      </c>
      <c r="D6" s="7">
        <v>301</v>
      </c>
      <c r="E6" s="92">
        <v>1138.6733317999922</v>
      </c>
      <c r="F6" s="92">
        <v>5324.3486911007285</v>
      </c>
      <c r="G6" s="131">
        <f t="shared" si="0"/>
        <v>4.8782736774918442E-2</v>
      </c>
      <c r="H6" s="86">
        <f t="shared" si="1"/>
        <v>1.9973516778315408</v>
      </c>
      <c r="I6" s="92">
        <f>Tabla4[[#This Row],[Columna8]]*Tabla4[[#This Row],[Columna4]]</f>
        <v>601.20285502729382</v>
      </c>
      <c r="J6" s="105">
        <f>Tabla4[[#This Row],[Columna9]]/(7*Tabla4[[#This Row],[Columna2]])</f>
        <v>9.542902460750696</v>
      </c>
      <c r="K6" s="41"/>
      <c r="Z6" s="7">
        <v>8.3222986576314203E-2</v>
      </c>
    </row>
    <row r="7" spans="1:26" ht="15" thickBot="1" x14ac:dyDescent="0.4">
      <c r="A7" s="44" t="s">
        <v>45</v>
      </c>
      <c r="B7" s="16">
        <v>2</v>
      </c>
      <c r="C7" s="6">
        <v>247</v>
      </c>
      <c r="D7" s="7">
        <v>9</v>
      </c>
      <c r="E7" s="92">
        <v>4314.4792406209235</v>
      </c>
      <c r="F7" s="92">
        <v>29352.62462399916</v>
      </c>
      <c r="G7" s="131">
        <f t="shared" si="0"/>
        <v>3.5632156713488503E-2</v>
      </c>
      <c r="H7" s="86">
        <f t="shared" si="1"/>
        <v>5.601181627356147</v>
      </c>
      <c r="I7" s="92">
        <f>Tabla4[[#This Row],[Columna8]]*Tabla4[[#This Row],[Columna4]]</f>
        <v>50.410634646205324</v>
      </c>
      <c r="J7" s="105">
        <f>Tabla4[[#This Row],[Columna9]]/(7*Tabla4[[#This Row],[Columna2]])</f>
        <v>3.6007596175860948</v>
      </c>
      <c r="K7" s="41"/>
      <c r="Z7" s="7">
        <v>0.23338256780650612</v>
      </c>
    </row>
    <row r="8" spans="1:26" ht="15" thickBot="1" x14ac:dyDescent="0.4">
      <c r="A8" s="45" t="s">
        <v>37</v>
      </c>
      <c r="B8" s="17">
        <v>15</v>
      </c>
      <c r="C8" s="9">
        <v>278</v>
      </c>
      <c r="D8" s="9">
        <v>182</v>
      </c>
      <c r="E8" s="93">
        <v>6237.2149851612903</v>
      </c>
      <c r="F8" s="93">
        <v>39155.606456514164</v>
      </c>
      <c r="G8" s="132">
        <f t="shared" si="0"/>
        <v>2.9213187852692533E-2</v>
      </c>
      <c r="H8" s="87">
        <f t="shared" si="1"/>
        <v>7.8114339895519898</v>
      </c>
      <c r="I8" s="93">
        <f>Tabla4[[#This Row],[Columna8]]*Tabla4[[#This Row],[Columna4]]</f>
        <v>1421.6809860984622</v>
      </c>
      <c r="J8" s="105">
        <f>Tabla4[[#This Row],[Columna9]]/(7*Tabla4[[#This Row],[Columna2]])</f>
        <v>13.539818915223449</v>
      </c>
      <c r="K8" s="41"/>
      <c r="Z8" s="9">
        <v>0.32547641623133289</v>
      </c>
    </row>
    <row r="9" spans="1:26" ht="15" thickBot="1" x14ac:dyDescent="0.4">
      <c r="A9" s="45" t="s">
        <v>38</v>
      </c>
      <c r="B9" s="17">
        <v>15</v>
      </c>
      <c r="C9" s="9">
        <v>275</v>
      </c>
      <c r="D9" s="9">
        <v>150</v>
      </c>
      <c r="E9" s="93">
        <v>8480.2667665362114</v>
      </c>
      <c r="F9" s="93">
        <v>68176.516714571888</v>
      </c>
      <c r="G9" s="132">
        <f t="shared" si="0"/>
        <v>3.7819266931038494E-2</v>
      </c>
      <c r="H9" s="87">
        <f t="shared" si="1"/>
        <v>10.625226635589673</v>
      </c>
      <c r="I9" s="93">
        <f>Tabla4[[#This Row],[Columna8]]*Tabla4[[#This Row],[Columna4]]</f>
        <v>1593.7839953384509</v>
      </c>
      <c r="J9" s="105">
        <f>Tabla4[[#This Row],[Columna9]]/(7*Tabla4[[#This Row],[Columna2]])</f>
        <v>15.178895193699534</v>
      </c>
      <c r="K9" s="41"/>
      <c r="Z9" s="9">
        <v>0.442717776482903</v>
      </c>
    </row>
    <row r="10" spans="1:26" ht="15" thickBot="1" x14ac:dyDescent="0.4">
      <c r="A10" s="46" t="s">
        <v>43</v>
      </c>
      <c r="B10" s="18">
        <v>2</v>
      </c>
      <c r="C10" s="12">
        <v>68</v>
      </c>
      <c r="D10" s="12">
        <v>56</v>
      </c>
      <c r="E10" s="94">
        <v>280.67944857494496</v>
      </c>
      <c r="F10" s="94">
        <v>242.07840000000019</v>
      </c>
      <c r="G10" s="133">
        <f t="shared" si="0"/>
        <v>1.6408051821228686E-2</v>
      </c>
      <c r="H10" s="106">
        <f t="shared" si="1"/>
        <v>0.54833333333333367</v>
      </c>
      <c r="I10" s="94">
        <f>Tabla4[[#This Row],[Columna8]]*Tabla4[[#This Row],[Columna4]]</f>
        <v>30.706666666666685</v>
      </c>
      <c r="J10" s="105">
        <f>Tabla4[[#This Row],[Columna9]]/(7*Tabla4[[#This Row],[Columna2]])</f>
        <v>2.1933333333333347</v>
      </c>
      <c r="K10" s="41"/>
      <c r="Z10" s="12">
        <v>2.2847222222222238E-2</v>
      </c>
    </row>
    <row r="11" spans="1:26" x14ac:dyDescent="0.35">
      <c r="A11" s="41" t="s">
        <v>39</v>
      </c>
      <c r="B11" s="41">
        <v>6</v>
      </c>
      <c r="C11" s="41">
        <v>92</v>
      </c>
      <c r="D11" s="41">
        <v>152</v>
      </c>
      <c r="E11" s="95">
        <v>714.28557090439199</v>
      </c>
      <c r="F11" s="95">
        <v>2633.6679256003567</v>
      </c>
      <c r="G11" s="128">
        <f t="shared" si="0"/>
        <v>5.1846783227030138E-2</v>
      </c>
      <c r="H11" s="95">
        <f t="shared" si="1"/>
        <v>1.5727995586980044</v>
      </c>
      <c r="I11" s="95">
        <f>Tabla4[[#This Row],[Columna8]]*Tabla4[[#This Row],[Columna4]]</f>
        <v>239.06553292209665</v>
      </c>
      <c r="J11" s="105">
        <f>Tabla4[[#This Row],[Columna9]]/(7*Tabla4[[#This Row],[Columna2]])</f>
        <v>5.6920364981451588</v>
      </c>
      <c r="K11" s="41"/>
      <c r="Z11" s="41">
        <v>6.5533314945750182E-2</v>
      </c>
    </row>
    <row r="12" spans="1:26" ht="38.25" customHeight="1" x14ac:dyDescent="0.35">
      <c r="A12" s="41" t="s">
        <v>44</v>
      </c>
      <c r="B12" s="41">
        <v>20</v>
      </c>
      <c r="C12" s="41">
        <v>116</v>
      </c>
      <c r="D12" s="41">
        <v>808</v>
      </c>
      <c r="E12" s="95">
        <v>500.04591514844185</v>
      </c>
      <c r="F12" s="95">
        <v>570.04080000000442</v>
      </c>
      <c r="G12" s="128">
        <f t="shared" si="0"/>
        <v>1.2713308154318268E-2</v>
      </c>
      <c r="H12" s="95">
        <f t="shared" si="1"/>
        <v>0.54833333333332535</v>
      </c>
      <c r="I12" s="95">
        <f>Tabla4[[#This Row],[Columna8]]*Tabla4[[#This Row],[Columna4]]</f>
        <v>443.05333333332686</v>
      </c>
      <c r="J12" s="105">
        <f>Tabla4[[#This Row],[Columna9]]/(7*Tabla4[[#This Row],[Columna2]])</f>
        <v>3.1646666666666206</v>
      </c>
      <c r="K12" s="41"/>
      <c r="Z12" s="41">
        <v>2.2847222222221887E-2</v>
      </c>
    </row>
    <row r="13" spans="1:26" x14ac:dyDescent="0.35">
      <c r="A13" s="41" t="s">
        <v>46</v>
      </c>
      <c r="B13" s="41">
        <v>12</v>
      </c>
      <c r="C13" s="41">
        <v>34</v>
      </c>
      <c r="D13" s="41">
        <v>56</v>
      </c>
      <c r="E13" s="95">
        <v>164.60956614630601</v>
      </c>
      <c r="F13" s="95">
        <v>304.16040000000027</v>
      </c>
      <c r="G13" s="128">
        <f t="shared" si="0"/>
        <v>7.0305481904813394E-2</v>
      </c>
      <c r="H13" s="95">
        <f t="shared" si="1"/>
        <v>0.54833333333333367</v>
      </c>
      <c r="I13" s="95">
        <f>Tabla4[[#This Row],[Columna8]]*Tabla4[[#This Row],[Columna4]]</f>
        <v>30.706666666666685</v>
      </c>
      <c r="J13" s="105">
        <f>Tabla4[[#This Row],[Columna9]]/(7*Tabla4[[#This Row],[Columna2]])</f>
        <v>0.36555555555555574</v>
      </c>
      <c r="K13" s="41"/>
      <c r="Z13" s="41">
        <v>2.2847222222222238E-2</v>
      </c>
    </row>
    <row r="14" spans="1:26" x14ac:dyDescent="0.35">
      <c r="G14" s="120"/>
      <c r="K14" s="41"/>
    </row>
    <row r="15" spans="1:26" ht="29.5" thickBot="1" x14ac:dyDescent="0.4">
      <c r="A15" s="51" t="s">
        <v>3</v>
      </c>
      <c r="B15" s="51" t="s">
        <v>12</v>
      </c>
      <c r="C15" s="52" t="s">
        <v>19</v>
      </c>
      <c r="D15" s="52" t="s">
        <v>14</v>
      </c>
      <c r="E15" s="51" t="s">
        <v>9</v>
      </c>
      <c r="F15" s="51" t="s">
        <v>10</v>
      </c>
      <c r="G15" s="134" t="s">
        <v>1</v>
      </c>
      <c r="H15" s="51" t="s">
        <v>11</v>
      </c>
      <c r="I15" s="52" t="s">
        <v>17</v>
      </c>
      <c r="J15" s="51" t="s">
        <v>18</v>
      </c>
      <c r="K15" s="41"/>
    </row>
    <row r="16" spans="1:26" ht="15.5" thickTop="1" thickBot="1" x14ac:dyDescent="0.4">
      <c r="A16" s="49" t="s">
        <v>4</v>
      </c>
      <c r="B16" s="27">
        <f>$B7+$B8+$B9</f>
        <v>32</v>
      </c>
      <c r="C16" s="102">
        <f>($B7*C7+$B8*C8+$B9*C9)/($B7+$B8+$B9)</f>
        <v>274.65625</v>
      </c>
      <c r="D16" s="25">
        <f>(1*D7+D8+D9)</f>
        <v>341</v>
      </c>
      <c r="E16" s="101">
        <f t="shared" ref="E16:J16" si="2">($B7*E7+$B8*E8+$B9*E9)/($B7+$B8+$B9)</f>
        <v>7168.4745236470117</v>
      </c>
      <c r="F16" s="101">
        <f t="shared" si="2"/>
        <v>52146.471775446538</v>
      </c>
      <c r="G16" s="129">
        <f t="shared" si="2"/>
        <v>3.364847297446695E-2</v>
      </c>
      <c r="H16" s="101">
        <f t="shared" si="2"/>
        <v>8.9922585197449134</v>
      </c>
      <c r="I16" s="101">
        <f>(I7+I8+I9)</f>
        <v>3065.8756160831185</v>
      </c>
      <c r="J16" s="101">
        <f t="shared" si="2"/>
        <v>13.686944714656779</v>
      </c>
      <c r="K16" s="41"/>
    </row>
    <row r="17" spans="1:11" ht="15" thickBot="1" x14ac:dyDescent="0.4">
      <c r="A17" s="44" t="s">
        <v>29</v>
      </c>
      <c r="B17" s="16">
        <f>($B4+$B5+$B6)</f>
        <v>43</v>
      </c>
      <c r="C17" s="97">
        <f>($B4*C4+$B5*C5+$B6*C6)/$B17</f>
        <v>127.72093023255815</v>
      </c>
      <c r="D17" s="6">
        <f>(D4+D5+D6)</f>
        <v>1433</v>
      </c>
      <c r="E17" s="86">
        <f t="shared" ref="E17:J17" si="3">($B4*E4+$B5*E5+$B6*E6)/$B17</f>
        <v>911.21256404437804</v>
      </c>
      <c r="F17" s="86">
        <f t="shared" si="3"/>
        <v>3857.3721614312449</v>
      </c>
      <c r="G17" s="125">
        <f t="shared" si="3"/>
        <v>4.2824028387350652E-2</v>
      </c>
      <c r="H17" s="86">
        <f t="shared" si="3"/>
        <v>1.7191877967041191</v>
      </c>
      <c r="I17" s="86">
        <f>(I4+I5+I6)</f>
        <v>2460.5588331286199</v>
      </c>
      <c r="J17" s="86">
        <f t="shared" si="3"/>
        <v>8.1746140635502318</v>
      </c>
      <c r="K17" s="41"/>
    </row>
    <row r="18" spans="1:11" ht="15" thickBot="1" x14ac:dyDescent="0.4">
      <c r="A18" s="45" t="s">
        <v>31</v>
      </c>
      <c r="B18" s="17">
        <f>$B11+$B12</f>
        <v>26</v>
      </c>
      <c r="C18" s="98">
        <f>($B11*C11+$B12*C12)/($B11+$B12)</f>
        <v>110.46153846153847</v>
      </c>
      <c r="D18" s="10">
        <f>(D11+D12)</f>
        <v>960</v>
      </c>
      <c r="E18" s="87">
        <f t="shared" ref="E18:J18" si="4">($B11*E11+$B12*E12)/($B11+$B12)</f>
        <v>549.48583570750736</v>
      </c>
      <c r="F18" s="87">
        <f t="shared" si="4"/>
        <v>1046.2624443693164</v>
      </c>
      <c r="G18" s="126">
        <f t="shared" si="4"/>
        <v>2.1744110094174856E-2</v>
      </c>
      <c r="H18" s="87">
        <f t="shared" si="4"/>
        <v>0.78474861610978985</v>
      </c>
      <c r="I18" s="87">
        <f>(I11+I12)</f>
        <v>682.11886625542354</v>
      </c>
      <c r="J18" s="87">
        <f t="shared" si="4"/>
        <v>3.7479058585462832</v>
      </c>
      <c r="K18" s="41"/>
    </row>
    <row r="19" spans="1:11" ht="15" thickBot="1" x14ac:dyDescent="0.4">
      <c r="A19" s="46" t="s">
        <v>30</v>
      </c>
      <c r="B19" s="18">
        <f>B13</f>
        <v>12</v>
      </c>
      <c r="C19" s="99">
        <f t="shared" ref="C19:J19" si="5">C13</f>
        <v>34</v>
      </c>
      <c r="D19" s="18">
        <f t="shared" si="5"/>
        <v>56</v>
      </c>
      <c r="E19" s="88">
        <f t="shared" si="5"/>
        <v>164.60956614630601</v>
      </c>
      <c r="F19" s="88">
        <f t="shared" si="5"/>
        <v>304.16040000000027</v>
      </c>
      <c r="G19" s="127">
        <f t="shared" si="5"/>
        <v>7.0305481904813394E-2</v>
      </c>
      <c r="H19" s="88">
        <f t="shared" si="5"/>
        <v>0.54833333333333367</v>
      </c>
      <c r="I19" s="88">
        <f t="shared" si="5"/>
        <v>30.706666666666685</v>
      </c>
      <c r="J19" s="88">
        <f t="shared" si="5"/>
        <v>0.36555555555555574</v>
      </c>
      <c r="K19" s="41"/>
    </row>
    <row r="20" spans="1:11" x14ac:dyDescent="0.35">
      <c r="A20" s="41"/>
      <c r="B20" s="41"/>
      <c r="C20" s="41"/>
      <c r="D20" s="41"/>
      <c r="E20" s="41"/>
      <c r="F20" s="41"/>
      <c r="G20" s="41"/>
      <c r="H20" s="41"/>
      <c r="I20" s="41"/>
      <c r="J20" s="41"/>
      <c r="K20" s="41"/>
    </row>
    <row r="21" spans="1:11" x14ac:dyDescent="0.35">
      <c r="A21" s="41"/>
      <c r="B21" s="41"/>
      <c r="C21" s="41"/>
      <c r="D21" s="41"/>
      <c r="E21" s="41"/>
      <c r="F21" s="41"/>
      <c r="G21" s="41"/>
      <c r="H21" s="41"/>
      <c r="I21" s="41"/>
      <c r="J21" s="41"/>
      <c r="K21" s="41"/>
    </row>
    <row r="22" spans="1:11" x14ac:dyDescent="0.35">
      <c r="A22" s="41"/>
      <c r="B22" s="41"/>
      <c r="C22" s="41"/>
      <c r="D22" s="41"/>
      <c r="E22" s="41"/>
      <c r="F22" s="41"/>
      <c r="G22" s="41"/>
      <c r="H22" s="41"/>
      <c r="I22" s="41"/>
      <c r="J22" s="41"/>
      <c r="K22" s="41"/>
    </row>
    <row r="23" spans="1:11" x14ac:dyDescent="0.35">
      <c r="A23" s="41"/>
      <c r="B23" s="41"/>
      <c r="C23" s="41"/>
      <c r="D23" s="41"/>
      <c r="E23" s="41"/>
      <c r="F23" s="41"/>
      <c r="G23" s="41"/>
      <c r="H23" s="41"/>
      <c r="I23" s="41"/>
      <c r="J23" s="41"/>
      <c r="K23" s="41"/>
    </row>
    <row r="24" spans="1:11" x14ac:dyDescent="0.35">
      <c r="A24" s="41"/>
      <c r="B24" s="41"/>
      <c r="C24" s="41"/>
      <c r="D24" s="41"/>
      <c r="E24" s="41"/>
      <c r="F24" s="41"/>
      <c r="G24" s="41"/>
      <c r="H24" s="41"/>
      <c r="I24" s="41"/>
      <c r="J24" s="41"/>
      <c r="K24" s="4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
  <sheetViews>
    <sheetView zoomScale="85" zoomScaleNormal="85" workbookViewId="0">
      <selection activeCell="G4" sqref="G4:G19"/>
    </sheetView>
  </sheetViews>
  <sheetFormatPr baseColWidth="10" defaultColWidth="11.453125" defaultRowHeight="14.5" x14ac:dyDescent="0.35"/>
  <cols>
    <col min="1" max="1" width="27.7265625" style="2" customWidth="1"/>
    <col min="2" max="2" width="11" style="2" customWidth="1"/>
    <col min="3" max="3" width="12"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29" ht="15.5" thickTop="1" thickBot="1" x14ac:dyDescent="0.4">
      <c r="A1" s="24" t="s">
        <v>8</v>
      </c>
      <c r="B1" s="30">
        <v>77.599999999999994</v>
      </c>
      <c r="C1" s="48"/>
      <c r="D1" s="41"/>
      <c r="E1" s="41"/>
      <c r="F1" s="41"/>
      <c r="G1" s="41"/>
      <c r="H1" s="41"/>
      <c r="I1" s="41"/>
      <c r="J1" s="41"/>
      <c r="K1" s="41"/>
    </row>
    <row r="2" spans="1:29" ht="15.5" thickTop="1" thickBot="1" x14ac:dyDescent="0.4">
      <c r="A2" s="41"/>
      <c r="B2" s="41"/>
      <c r="C2" s="41"/>
      <c r="D2" s="41"/>
      <c r="E2" s="41"/>
      <c r="F2" s="41"/>
      <c r="G2" s="41"/>
      <c r="H2" s="41"/>
      <c r="I2" s="41"/>
      <c r="J2" s="41"/>
      <c r="K2" s="41"/>
    </row>
    <row r="3" spans="1:29" ht="15.5" thickTop="1" thickBot="1" x14ac:dyDescent="0.4">
      <c r="A3" s="24" t="s">
        <v>2</v>
      </c>
      <c r="B3" s="24" t="s">
        <v>12</v>
      </c>
      <c r="C3" s="24" t="s">
        <v>0</v>
      </c>
      <c r="D3" s="24" t="s">
        <v>13</v>
      </c>
      <c r="E3" s="24" t="s">
        <v>9</v>
      </c>
      <c r="F3" s="24" t="s">
        <v>10</v>
      </c>
      <c r="G3" s="24" t="s">
        <v>1</v>
      </c>
      <c r="H3" s="24" t="s">
        <v>11</v>
      </c>
      <c r="I3" s="24" t="s">
        <v>15</v>
      </c>
      <c r="J3" s="24" t="s">
        <v>16</v>
      </c>
      <c r="K3" s="41"/>
    </row>
    <row r="4" spans="1:29" ht="15.5" thickTop="1" thickBot="1" x14ac:dyDescent="0.4">
      <c r="A4" s="42" t="s">
        <v>34</v>
      </c>
      <c r="B4" s="15">
        <v>5</v>
      </c>
      <c r="C4" s="3">
        <v>156</v>
      </c>
      <c r="D4" s="3">
        <v>216</v>
      </c>
      <c r="E4" s="89">
        <v>942.60041400019838</v>
      </c>
      <c r="F4" s="90">
        <v>3447.9692751657649</v>
      </c>
      <c r="G4" s="122">
        <f>F4*100/(E4*C4*$B$1)</f>
        <v>3.0216867581801178E-2</v>
      </c>
      <c r="H4" s="90">
        <f>24*AC4</f>
        <v>1.7593436721284583</v>
      </c>
      <c r="I4" s="89">
        <f>H4*D4</f>
        <v>380.01823317974697</v>
      </c>
      <c r="J4" s="89">
        <f>I4/(7*B4)</f>
        <v>10.857663805135628</v>
      </c>
      <c r="K4" s="41"/>
      <c r="AC4" s="4">
        <v>7.3305986338685764E-2</v>
      </c>
    </row>
    <row r="5" spans="1:29" ht="15" thickBot="1" x14ac:dyDescent="0.4">
      <c r="A5" s="43" t="s">
        <v>35</v>
      </c>
      <c r="B5" s="15">
        <v>28</v>
      </c>
      <c r="C5" s="3">
        <v>124</v>
      </c>
      <c r="D5" s="4">
        <v>990</v>
      </c>
      <c r="E5" s="89">
        <v>858.62628449957083</v>
      </c>
      <c r="F5" s="89">
        <v>3519.7950652486447</v>
      </c>
      <c r="G5" s="122">
        <f t="shared" ref="G5:G12" si="0">F5*100/(E5*C5*$B$1)</f>
        <v>4.2601980825460281E-2</v>
      </c>
      <c r="H5" s="90">
        <f t="shared" ref="H5:H12" si="1">24*AC5</f>
        <v>1.6549331647957954</v>
      </c>
      <c r="I5" s="89">
        <f t="shared" ref="I5:I12" si="2">H5*D5</f>
        <v>1638.3838331478375</v>
      </c>
      <c r="J5" s="89">
        <f t="shared" ref="J5:J12" si="3">I5/(7*B5)</f>
        <v>8.3591011895297829</v>
      </c>
      <c r="K5" s="41"/>
      <c r="AC5" s="4">
        <v>6.8955548533158148E-2</v>
      </c>
    </row>
    <row r="6" spans="1:29" ht="15" thickBot="1" x14ac:dyDescent="0.4">
      <c r="A6" s="44" t="s">
        <v>36</v>
      </c>
      <c r="B6" s="16">
        <v>8</v>
      </c>
      <c r="C6" s="6">
        <v>124</v>
      </c>
      <c r="D6" s="7">
        <v>285</v>
      </c>
      <c r="E6" s="92">
        <v>1153.4495461020035</v>
      </c>
      <c r="F6" s="92">
        <v>5382.0867114621096</v>
      </c>
      <c r="G6" s="122">
        <f t="shared" si="0"/>
        <v>4.8491842013703317E-2</v>
      </c>
      <c r="H6" s="90">
        <f t="shared" si="1"/>
        <v>2.0140282528473268</v>
      </c>
      <c r="I6" s="89">
        <f t="shared" si="2"/>
        <v>573.99805206148812</v>
      </c>
      <c r="J6" s="89">
        <f t="shared" si="3"/>
        <v>10.249965215383716</v>
      </c>
      <c r="K6" s="41"/>
      <c r="AC6" s="7">
        <v>8.3917843868638625E-2</v>
      </c>
    </row>
    <row r="7" spans="1:29" ht="15" thickBot="1" x14ac:dyDescent="0.4">
      <c r="A7" s="44" t="s">
        <v>45</v>
      </c>
      <c r="B7" s="16">
        <v>1</v>
      </c>
      <c r="C7" s="6">
        <v>247</v>
      </c>
      <c r="D7" s="7">
        <v>2</v>
      </c>
      <c r="E7" s="92">
        <v>9588.5992298587425</v>
      </c>
      <c r="F7" s="92">
        <v>62007.668951439919</v>
      </c>
      <c r="G7" s="122">
        <f t="shared" si="0"/>
        <v>3.3738950084139338E-2</v>
      </c>
      <c r="H7" s="90">
        <f t="shared" si="1"/>
        <v>11.661207265964313</v>
      </c>
      <c r="I7" s="89">
        <f t="shared" si="2"/>
        <v>23.322414531928626</v>
      </c>
      <c r="J7" s="89">
        <f t="shared" si="3"/>
        <v>3.3317735045612324</v>
      </c>
      <c r="K7" s="41"/>
      <c r="AC7" s="7">
        <v>0.48588363608184637</v>
      </c>
    </row>
    <row r="8" spans="1:29" ht="15" thickBot="1" x14ac:dyDescent="0.4">
      <c r="A8" s="45" t="s">
        <v>37</v>
      </c>
      <c r="B8" s="17">
        <v>14</v>
      </c>
      <c r="C8" s="9">
        <v>278</v>
      </c>
      <c r="D8" s="9">
        <v>222</v>
      </c>
      <c r="E8" s="93">
        <v>6104.0713447448097</v>
      </c>
      <c r="F8" s="93">
        <v>38351.039393824663</v>
      </c>
      <c r="G8" s="122">
        <f t="shared" si="0"/>
        <v>2.9123999875708972E-2</v>
      </c>
      <c r="H8" s="90">
        <f t="shared" si="1"/>
        <v>7.6583474608282138</v>
      </c>
      <c r="I8" s="89">
        <f t="shared" si="2"/>
        <v>1700.1531363038634</v>
      </c>
      <c r="J8" s="89">
        <f t="shared" si="3"/>
        <v>17.348501390855748</v>
      </c>
      <c r="K8" s="41"/>
      <c r="AC8" s="9">
        <v>0.31909781086784222</v>
      </c>
    </row>
    <row r="9" spans="1:29" ht="15" thickBot="1" x14ac:dyDescent="0.4">
      <c r="A9" s="45" t="s">
        <v>38</v>
      </c>
      <c r="B9" s="17">
        <v>15</v>
      </c>
      <c r="C9" s="9">
        <v>275</v>
      </c>
      <c r="D9" s="9">
        <v>203</v>
      </c>
      <c r="E9" s="93">
        <v>8645.6685730606478</v>
      </c>
      <c r="F9" s="93">
        <v>69486.03054076941</v>
      </c>
      <c r="G9" s="122">
        <f t="shared" si="0"/>
        <v>3.7662097619048547E-2</v>
      </c>
      <c r="H9" s="90">
        <f t="shared" si="1"/>
        <v>10.819716305620878</v>
      </c>
      <c r="I9" s="89">
        <f t="shared" si="2"/>
        <v>2196.4024100410384</v>
      </c>
      <c r="J9" s="89">
        <f t="shared" si="3"/>
        <v>20.91811819086703</v>
      </c>
      <c r="K9" s="41"/>
      <c r="AC9" s="9">
        <v>0.45082151273420323</v>
      </c>
    </row>
    <row r="10" spans="1:29" ht="15" thickBot="1" x14ac:dyDescent="0.4">
      <c r="A10" s="46" t="s">
        <v>39</v>
      </c>
      <c r="B10" s="18">
        <v>6</v>
      </c>
      <c r="C10" s="41">
        <v>92</v>
      </c>
      <c r="D10" s="12">
        <v>182</v>
      </c>
      <c r="E10" s="94">
        <v>723.90658417455836</v>
      </c>
      <c r="F10" s="94">
        <v>2645.7036927120944</v>
      </c>
      <c r="G10" s="122">
        <f t="shared" si="0"/>
        <v>5.1192828780586674E-2</v>
      </c>
      <c r="H10" s="90">
        <f t="shared" si="1"/>
        <v>1.5830602484248617</v>
      </c>
      <c r="I10" s="89">
        <f t="shared" si="2"/>
        <v>288.11696521332482</v>
      </c>
      <c r="J10" s="89">
        <f t="shared" si="3"/>
        <v>6.8599277431744001</v>
      </c>
      <c r="K10" s="41"/>
      <c r="AC10" s="12">
        <v>6.5960843684369233E-2</v>
      </c>
    </row>
    <row r="11" spans="1:29" x14ac:dyDescent="0.35">
      <c r="A11" s="41" t="s">
        <v>44</v>
      </c>
      <c r="B11" s="41">
        <v>20</v>
      </c>
      <c r="C11" s="41">
        <v>116</v>
      </c>
      <c r="D11" s="41">
        <v>799</v>
      </c>
      <c r="E11" s="95">
        <v>468.52737038924636</v>
      </c>
      <c r="F11" s="95">
        <v>570.04080000000465</v>
      </c>
      <c r="G11" s="122">
        <f t="shared" si="0"/>
        <v>1.3516095879372993E-2</v>
      </c>
      <c r="H11" s="90">
        <f t="shared" si="1"/>
        <v>0.54833333333332523</v>
      </c>
      <c r="I11" s="89">
        <f t="shared" si="2"/>
        <v>438.11833333332686</v>
      </c>
      <c r="J11" s="89">
        <f t="shared" si="3"/>
        <v>3.1294166666666206</v>
      </c>
      <c r="K11" s="41"/>
      <c r="AC11" s="41">
        <v>2.2847222222221884E-2</v>
      </c>
    </row>
    <row r="12" spans="1:29" ht="38.25" customHeight="1" x14ac:dyDescent="0.35">
      <c r="A12" s="41" t="s">
        <v>46</v>
      </c>
      <c r="B12" s="41">
        <v>2</v>
      </c>
      <c r="C12" s="41">
        <v>34</v>
      </c>
      <c r="D12" s="41">
        <v>51</v>
      </c>
      <c r="E12" s="95">
        <v>164.60956614630604</v>
      </c>
      <c r="F12" s="95">
        <v>304.16040000000021</v>
      </c>
      <c r="G12" s="122">
        <f t="shared" si="0"/>
        <v>7.0033682361366936E-2</v>
      </c>
      <c r="H12" s="90">
        <f t="shared" si="1"/>
        <v>0.54833333333333367</v>
      </c>
      <c r="I12" s="89">
        <f t="shared" si="2"/>
        <v>27.965000000000018</v>
      </c>
      <c r="J12" s="89">
        <f t="shared" si="3"/>
        <v>1.9975000000000012</v>
      </c>
      <c r="K12" s="41"/>
      <c r="AC12" s="41">
        <v>2.2847222222222238E-2</v>
      </c>
    </row>
    <row r="13" spans="1:29" x14ac:dyDescent="0.35">
      <c r="A13" s="41"/>
      <c r="B13" s="41"/>
      <c r="C13" s="41"/>
      <c r="D13" s="41"/>
      <c r="E13" s="41"/>
      <c r="F13" s="41"/>
      <c r="G13" s="128"/>
      <c r="H13" s="41"/>
      <c r="I13" s="41"/>
      <c r="J13" s="41"/>
      <c r="K13" s="41"/>
    </row>
    <row r="14" spans="1:29" ht="15" thickBot="1" x14ac:dyDescent="0.4">
      <c r="A14" s="41"/>
      <c r="B14" s="41"/>
      <c r="C14" s="41"/>
      <c r="D14" s="41"/>
      <c r="E14" s="41"/>
      <c r="F14" s="41"/>
      <c r="G14" s="128"/>
      <c r="H14" s="41"/>
      <c r="I14" s="41"/>
      <c r="J14" s="41"/>
      <c r="K14" s="41"/>
    </row>
    <row r="15" spans="1:29" ht="30" thickTop="1" thickBot="1" x14ac:dyDescent="0.4">
      <c r="A15" s="24" t="s">
        <v>3</v>
      </c>
      <c r="B15" s="24" t="s">
        <v>12</v>
      </c>
      <c r="C15" s="29" t="s">
        <v>19</v>
      </c>
      <c r="D15" s="29" t="s">
        <v>14</v>
      </c>
      <c r="E15" s="24" t="s">
        <v>9</v>
      </c>
      <c r="F15" s="24" t="s">
        <v>10</v>
      </c>
      <c r="G15" s="123" t="s">
        <v>1</v>
      </c>
      <c r="H15" s="24" t="s">
        <v>11</v>
      </c>
      <c r="I15" s="29" t="s">
        <v>17</v>
      </c>
      <c r="J15" s="24" t="s">
        <v>18</v>
      </c>
      <c r="K15" s="41"/>
    </row>
    <row r="16" spans="1:29" ht="15.5" thickTop="1" thickBot="1" x14ac:dyDescent="0.4">
      <c r="A16" s="49" t="s">
        <v>4</v>
      </c>
      <c r="B16" s="27">
        <f>$B7+$B8+$B9</f>
        <v>30</v>
      </c>
      <c r="C16" s="102">
        <f>($B7*C7+$B8*C8+$B9*C9)/($B7+$B8+$B9)</f>
        <v>275.46666666666664</v>
      </c>
      <c r="D16" s="25">
        <f>(D7+D8+D9)</f>
        <v>427</v>
      </c>
      <c r="E16" s="101">
        <f t="shared" ref="E16:J16" si="4">($B7*E7+$B8*E8+$B9*E9)/($B7+$B8+$B9)</f>
        <v>7491.020888406526</v>
      </c>
      <c r="F16" s="101">
        <f t="shared" si="4"/>
        <v>54707.089285884205</v>
      </c>
      <c r="G16" s="129">
        <f t="shared" si="4"/>
        <v>3.3546880420993103E-2</v>
      </c>
      <c r="H16" s="101">
        <f t="shared" si="4"/>
        <v>9.37246054339575</v>
      </c>
      <c r="I16" s="101">
        <f>(I7+I8+I9)</f>
        <v>3919.8779608768305</v>
      </c>
      <c r="J16" s="101">
        <f t="shared" si="4"/>
        <v>18.666085527984908</v>
      </c>
      <c r="K16" s="41"/>
    </row>
    <row r="17" spans="1:11" ht="15" thickBot="1" x14ac:dyDescent="0.4">
      <c r="A17" s="44" t="s">
        <v>29</v>
      </c>
      <c r="B17" s="16">
        <f>B4+B5+B6</f>
        <v>41</v>
      </c>
      <c r="C17" s="97">
        <f>($B4*C4+$B5*C5+$B6*C6)/($B4+$B5+$B6)</f>
        <v>127.90243902439025</v>
      </c>
      <c r="D17" s="6">
        <f>(D4+D5+D6)</f>
        <v>1491</v>
      </c>
      <c r="E17" s="86">
        <f t="shared" ref="E17:J17" si="5">($B4*E4+$B5*E5+$B6*E6)/($B4+$B5+$B6)</f>
        <v>926.39352206841465</v>
      </c>
      <c r="F17" s="86">
        <f t="shared" si="5"/>
        <v>3874.4098023045794</v>
      </c>
      <c r="G17" s="125">
        <f t="shared" si="5"/>
        <v>4.224084236906147E-2</v>
      </c>
      <c r="H17" s="86">
        <f t="shared" si="5"/>
        <v>1.7377334877488577</v>
      </c>
      <c r="I17" s="86">
        <f>(I4+1*I5+I6)</f>
        <v>2592.4001183890728</v>
      </c>
      <c r="J17" s="86">
        <f t="shared" si="5"/>
        <v>9.0327530257458974</v>
      </c>
      <c r="K17" s="41"/>
    </row>
    <row r="18" spans="1:11" ht="15" thickBot="1" x14ac:dyDescent="0.4">
      <c r="A18" s="45" t="s">
        <v>31</v>
      </c>
      <c r="B18" s="17">
        <f>B$10+B$11</f>
        <v>26</v>
      </c>
      <c r="C18" s="112">
        <f>(B$10*C10+B$11*C11)/(B$10+B$11)</f>
        <v>110.46153846153847</v>
      </c>
      <c r="D18" s="17">
        <f>(D10+D11)</f>
        <v>981</v>
      </c>
      <c r="E18" s="103">
        <f t="shared" ref="E18:J18" si="6">(D$10*E10+D$11*E11)/(D$10+D$11)</f>
        <v>515.90659251863144</v>
      </c>
      <c r="F18" s="103">
        <f t="shared" si="6"/>
        <v>1830.1408070572018</v>
      </c>
      <c r="G18" s="130">
        <f t="shared" si="6"/>
        <v>4.4514041018353476E-2</v>
      </c>
      <c r="H18" s="103">
        <f t="shared" si="6"/>
        <v>1.3669313563618644</v>
      </c>
      <c r="I18" s="103">
        <f>(I10+I11)</f>
        <v>726.23529854665162</v>
      </c>
      <c r="J18" s="103">
        <f t="shared" si="6"/>
        <v>4.6094101786992372</v>
      </c>
      <c r="K18" s="41"/>
    </row>
    <row r="19" spans="1:11" ht="15" thickBot="1" x14ac:dyDescent="0.4">
      <c r="A19" s="23" t="s">
        <v>30</v>
      </c>
      <c r="B19" s="18">
        <f>B12</f>
        <v>2</v>
      </c>
      <c r="C19" s="99">
        <f t="shared" ref="C19:J19" si="7">C12</f>
        <v>34</v>
      </c>
      <c r="D19" s="18">
        <f t="shared" si="7"/>
        <v>51</v>
      </c>
      <c r="E19" s="88">
        <f t="shared" si="7"/>
        <v>164.60956614630604</v>
      </c>
      <c r="F19" s="88">
        <f t="shared" si="7"/>
        <v>304.16040000000021</v>
      </c>
      <c r="G19" s="127">
        <f t="shared" si="7"/>
        <v>7.0033682361366936E-2</v>
      </c>
      <c r="H19" s="88">
        <f t="shared" si="7"/>
        <v>0.54833333333333367</v>
      </c>
      <c r="I19" s="88">
        <f t="shared" si="7"/>
        <v>27.965000000000018</v>
      </c>
      <c r="J19" s="88">
        <f t="shared" si="7"/>
        <v>1.9975000000000012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Normal="100" workbookViewId="0">
      <selection activeCell="G4" sqref="G4:G18"/>
    </sheetView>
  </sheetViews>
  <sheetFormatPr baseColWidth="10" defaultColWidth="11.453125" defaultRowHeight="14.5" x14ac:dyDescent="0.35"/>
  <cols>
    <col min="1" max="1" width="27.7265625" style="2" customWidth="1"/>
    <col min="2" max="2" width="11" style="2" customWidth="1"/>
    <col min="3" max="3" width="12" style="2" customWidth="1"/>
    <col min="4" max="4" width="20.453125" style="2" customWidth="1"/>
    <col min="5" max="5" width="20.26953125" style="2" customWidth="1"/>
    <col min="6" max="6" width="22.453125" style="2" customWidth="1"/>
    <col min="7" max="7" width="16.453125" style="2" customWidth="1"/>
    <col min="8" max="8" width="17.7265625" style="2" customWidth="1"/>
    <col min="9" max="9" width="26.7265625" style="2" customWidth="1"/>
    <col min="10" max="10" width="18.54296875" style="2" customWidth="1"/>
    <col min="11" max="16384" width="11.453125" style="2"/>
  </cols>
  <sheetData>
    <row r="1" spans="1:20" ht="15.5" thickTop="1" thickBot="1" x14ac:dyDescent="0.4">
      <c r="A1" s="24" t="s">
        <v>8</v>
      </c>
      <c r="B1" s="30">
        <v>78.5</v>
      </c>
      <c r="C1" s="48"/>
      <c r="D1" s="41"/>
      <c r="E1" s="41"/>
      <c r="F1" s="41"/>
      <c r="G1" s="41"/>
      <c r="H1" s="41"/>
      <c r="I1" s="41"/>
      <c r="J1" s="41"/>
      <c r="K1" s="41"/>
      <c r="L1" s="41"/>
      <c r="M1" s="41"/>
    </row>
    <row r="2" spans="1:20" ht="15.5" thickTop="1" thickBot="1" x14ac:dyDescent="0.4">
      <c r="A2" s="41"/>
      <c r="B2" s="41"/>
      <c r="C2" s="41"/>
      <c r="D2" s="41"/>
      <c r="E2" s="41"/>
      <c r="F2" s="41"/>
      <c r="G2" s="41"/>
      <c r="H2" s="41"/>
      <c r="I2" s="41"/>
      <c r="J2" s="41"/>
      <c r="K2" s="41"/>
      <c r="L2" s="41"/>
      <c r="M2" s="41"/>
    </row>
    <row r="3" spans="1:20" ht="15.5" thickTop="1" thickBot="1" x14ac:dyDescent="0.4">
      <c r="A3" s="24" t="s">
        <v>2</v>
      </c>
      <c r="B3" s="24" t="s">
        <v>12</v>
      </c>
      <c r="C3" s="24" t="s">
        <v>0</v>
      </c>
      <c r="D3" s="24" t="s">
        <v>13</v>
      </c>
      <c r="E3" s="24" t="s">
        <v>9</v>
      </c>
      <c r="F3" s="24" t="s">
        <v>10</v>
      </c>
      <c r="G3" s="24" t="s">
        <v>1</v>
      </c>
      <c r="H3" s="24" t="s">
        <v>11</v>
      </c>
      <c r="I3" s="24" t="s">
        <v>15</v>
      </c>
      <c r="J3" s="24" t="s">
        <v>16</v>
      </c>
      <c r="K3" s="41"/>
      <c r="L3" s="41"/>
      <c r="M3" s="41"/>
    </row>
    <row r="4" spans="1:20" ht="15.5" thickTop="1" thickBot="1" x14ac:dyDescent="0.4">
      <c r="A4" s="42" t="s">
        <v>34</v>
      </c>
      <c r="B4" s="15">
        <v>6</v>
      </c>
      <c r="C4" s="3">
        <v>156</v>
      </c>
      <c r="D4" s="3">
        <v>195</v>
      </c>
      <c r="E4" s="89">
        <v>923.77499389418938</v>
      </c>
      <c r="F4" s="90">
        <v>3409.9873340818554</v>
      </c>
      <c r="G4" s="122">
        <f>F4*100/(E4*C4*$B$1)</f>
        <v>3.0143405010864713E-2</v>
      </c>
      <c r="H4" s="90">
        <f>T4*24</f>
        <v>1.7360165401857408</v>
      </c>
      <c r="I4" s="89">
        <f>H4*D4</f>
        <v>338.52322533621947</v>
      </c>
      <c r="J4" s="89">
        <f>I4/(7*B4)</f>
        <v>8.0600767937195119</v>
      </c>
      <c r="K4" s="41"/>
      <c r="L4" s="41"/>
      <c r="M4" s="41"/>
      <c r="T4" s="4">
        <v>7.2334022507739196E-2</v>
      </c>
    </row>
    <row r="5" spans="1:20" ht="15" thickBot="1" x14ac:dyDescent="0.4">
      <c r="A5" s="43" t="s">
        <v>35</v>
      </c>
      <c r="B5" s="15">
        <v>28</v>
      </c>
      <c r="C5" s="3">
        <v>124</v>
      </c>
      <c r="D5" s="4">
        <v>803</v>
      </c>
      <c r="E5" s="89">
        <v>928.79489642650799</v>
      </c>
      <c r="F5" s="89">
        <v>3704.1703143894892</v>
      </c>
      <c r="G5" s="122">
        <f t="shared" ref="G5:G12" si="0">F5*100/(E5*C5*$B$1)</f>
        <v>4.0971303824157368E-2</v>
      </c>
      <c r="H5" s="90">
        <f t="shared" ref="H5:H12" si="1">T5*24</f>
        <v>1.7399046205953992</v>
      </c>
      <c r="I5" s="89">
        <f t="shared" ref="I5:I12" si="2">H5*D5</f>
        <v>1397.1434103381055</v>
      </c>
      <c r="J5" s="89">
        <f t="shared" ref="J5:J12" si="3">I5/(7*B5)</f>
        <v>7.1282827058066607</v>
      </c>
      <c r="K5" s="41"/>
      <c r="L5" s="41"/>
      <c r="M5" s="41"/>
      <c r="T5" s="4">
        <v>7.2496025858141633E-2</v>
      </c>
    </row>
    <row r="6" spans="1:20" ht="15" thickBot="1" x14ac:dyDescent="0.4">
      <c r="A6" s="44" t="s">
        <v>36</v>
      </c>
      <c r="B6" s="16">
        <v>7</v>
      </c>
      <c r="C6" s="6">
        <v>124</v>
      </c>
      <c r="D6" s="7">
        <v>276</v>
      </c>
      <c r="E6" s="92">
        <v>1124.0589126687205</v>
      </c>
      <c r="F6" s="92">
        <v>5285.7512962267401</v>
      </c>
      <c r="G6" s="122">
        <f t="shared" si="0"/>
        <v>4.8308806663991129E-2</v>
      </c>
      <c r="H6" s="90">
        <f t="shared" si="1"/>
        <v>1.9784349249751059</v>
      </c>
      <c r="I6" s="89">
        <f t="shared" si="2"/>
        <v>546.04803929312925</v>
      </c>
      <c r="J6" s="89">
        <f t="shared" si="3"/>
        <v>11.143837536594475</v>
      </c>
      <c r="K6" s="41"/>
      <c r="L6" s="41"/>
      <c r="M6" s="41"/>
      <c r="T6" s="7">
        <v>8.2434788540629411E-2</v>
      </c>
    </row>
    <row r="7" spans="1:20" ht="15" thickBot="1" x14ac:dyDescent="0.4">
      <c r="A7" s="44" t="s">
        <v>37</v>
      </c>
      <c r="B7" s="16">
        <v>15</v>
      </c>
      <c r="C7" s="6">
        <v>278</v>
      </c>
      <c r="D7" s="7">
        <v>227</v>
      </c>
      <c r="E7" s="92">
        <v>6127.949514064614</v>
      </c>
      <c r="F7" s="92">
        <v>38500.27112087125</v>
      </c>
      <c r="G7" s="122">
        <f t="shared" si="0"/>
        <v>2.8789502265473041E-2</v>
      </c>
      <c r="H7" s="90">
        <f t="shared" si="1"/>
        <v>7.6858115877548245</v>
      </c>
      <c r="I7" s="89">
        <f t="shared" si="2"/>
        <v>1744.6792304203452</v>
      </c>
      <c r="J7" s="89">
        <f t="shared" si="3"/>
        <v>16.615992670669954</v>
      </c>
      <c r="K7" s="41"/>
      <c r="L7" s="41"/>
      <c r="M7" s="41"/>
      <c r="T7" s="7">
        <v>0.32024214948978436</v>
      </c>
    </row>
    <row r="8" spans="1:20" x14ac:dyDescent="0.35">
      <c r="A8" s="41" t="s">
        <v>38</v>
      </c>
      <c r="B8" s="17">
        <v>15</v>
      </c>
      <c r="C8" s="9">
        <v>275</v>
      </c>
      <c r="D8" s="9">
        <v>177</v>
      </c>
      <c r="E8" s="93">
        <v>8796.275556316783</v>
      </c>
      <c r="F8" s="93">
        <v>70685.953893124271</v>
      </c>
      <c r="G8" s="122">
        <f t="shared" si="0"/>
        <v>3.7224763454501021E-2</v>
      </c>
      <c r="H8" s="90">
        <f t="shared" si="1"/>
        <v>10.996695106340862</v>
      </c>
      <c r="I8" s="89">
        <f t="shared" si="2"/>
        <v>1946.4150338223326</v>
      </c>
      <c r="J8" s="89">
        <f t="shared" si="3"/>
        <v>18.537286036403167</v>
      </c>
      <c r="K8" s="41"/>
      <c r="L8" s="41"/>
      <c r="M8" s="41"/>
      <c r="T8" s="9">
        <v>0.45819562943086922</v>
      </c>
    </row>
    <row r="9" spans="1:20" ht="15" thickBot="1" x14ac:dyDescent="0.4">
      <c r="A9" s="45" t="s">
        <v>43</v>
      </c>
      <c r="B9" s="17">
        <v>4</v>
      </c>
      <c r="C9" s="9">
        <v>68</v>
      </c>
      <c r="D9" s="9">
        <v>146</v>
      </c>
      <c r="E9" s="93">
        <v>277.01982952310726</v>
      </c>
      <c r="F9" s="93">
        <v>242.07839999999931</v>
      </c>
      <c r="G9" s="122">
        <f t="shared" si="0"/>
        <v>1.637067599517281E-2</v>
      </c>
      <c r="H9" s="90">
        <f t="shared" si="1"/>
        <v>0.54833333333333156</v>
      </c>
      <c r="I9" s="89">
        <f t="shared" si="2"/>
        <v>80.056666666666402</v>
      </c>
      <c r="J9" s="89">
        <f t="shared" si="3"/>
        <v>2.8591666666666571</v>
      </c>
      <c r="K9" s="41"/>
      <c r="L9" s="41"/>
      <c r="M9" s="41"/>
      <c r="T9" s="9">
        <v>2.2847222222222151E-2</v>
      </c>
    </row>
    <row r="10" spans="1:20" ht="15" thickBot="1" x14ac:dyDescent="0.4">
      <c r="A10" s="46" t="s">
        <v>40</v>
      </c>
      <c r="B10" s="18">
        <v>5</v>
      </c>
      <c r="C10" s="12">
        <v>100</v>
      </c>
      <c r="D10" s="12">
        <v>192</v>
      </c>
      <c r="E10" s="94">
        <v>669.03311332796738</v>
      </c>
      <c r="F10" s="94">
        <v>2406.6115805378486</v>
      </c>
      <c r="G10" s="122">
        <f t="shared" si="0"/>
        <v>4.5823550064719804E-2</v>
      </c>
      <c r="H10" s="90">
        <f t="shared" si="1"/>
        <v>1.4633017474901659</v>
      </c>
      <c r="I10" s="89">
        <f t="shared" si="2"/>
        <v>280.95393551811185</v>
      </c>
      <c r="J10" s="89">
        <f t="shared" si="3"/>
        <v>8.0272553005174814</v>
      </c>
      <c r="K10" s="41"/>
      <c r="L10" s="41"/>
      <c r="M10" s="41"/>
      <c r="T10" s="12">
        <v>6.0970906145423581E-2</v>
      </c>
    </row>
    <row r="11" spans="1:20" x14ac:dyDescent="0.35">
      <c r="A11" s="41" t="s">
        <v>39</v>
      </c>
      <c r="B11" s="41">
        <v>5</v>
      </c>
      <c r="C11" s="41">
        <v>92</v>
      </c>
      <c r="D11" s="41">
        <v>186</v>
      </c>
      <c r="E11" s="95">
        <v>733.1233395657606</v>
      </c>
      <c r="F11" s="95">
        <v>2672.7403737709992</v>
      </c>
      <c r="G11" s="122">
        <f t="shared" si="0"/>
        <v>5.0480336835691815E-2</v>
      </c>
      <c r="H11" s="90">
        <f t="shared" si="1"/>
        <v>1.5928291312052385</v>
      </c>
      <c r="I11" s="89">
        <f t="shared" si="2"/>
        <v>296.26621840417437</v>
      </c>
      <c r="J11" s="89">
        <f t="shared" si="3"/>
        <v>8.4647490972621249</v>
      </c>
      <c r="K11" s="41"/>
      <c r="L11" s="41"/>
      <c r="M11" s="41"/>
      <c r="T11" s="41">
        <v>6.6367880466884938E-2</v>
      </c>
    </row>
    <row r="12" spans="1:20" ht="38.25" customHeight="1" thickBot="1" x14ac:dyDescent="0.4">
      <c r="A12" s="41" t="s">
        <v>44</v>
      </c>
      <c r="B12" s="41">
        <v>18</v>
      </c>
      <c r="C12" s="41">
        <v>116</v>
      </c>
      <c r="D12" s="41">
        <v>734</v>
      </c>
      <c r="E12" s="95">
        <v>462.03616802554887</v>
      </c>
      <c r="F12" s="95">
        <v>570.04080000000317</v>
      </c>
      <c r="G12" s="122">
        <f t="shared" si="0"/>
        <v>1.3548846472251141E-2</v>
      </c>
      <c r="H12" s="90">
        <f t="shared" si="1"/>
        <v>0.54833333333332601</v>
      </c>
      <c r="I12" s="89">
        <f t="shared" si="2"/>
        <v>402.47666666666129</v>
      </c>
      <c r="J12" s="89">
        <f t="shared" si="3"/>
        <v>3.1942592592592165</v>
      </c>
      <c r="K12" s="41"/>
      <c r="L12" s="41"/>
      <c r="M12" s="41"/>
      <c r="T12" s="41">
        <v>2.2847222222221918E-2</v>
      </c>
    </row>
    <row r="13" spans="1:20" ht="30" thickTop="1" thickBot="1" x14ac:dyDescent="0.4">
      <c r="A13" s="24" t="s">
        <v>3</v>
      </c>
      <c r="B13" s="24" t="s">
        <v>12</v>
      </c>
      <c r="C13" s="29" t="s">
        <v>19</v>
      </c>
      <c r="D13" s="29" t="s">
        <v>14</v>
      </c>
      <c r="E13" s="24" t="s">
        <v>9</v>
      </c>
      <c r="F13" s="24" t="s">
        <v>10</v>
      </c>
      <c r="G13" s="123" t="s">
        <v>1</v>
      </c>
      <c r="H13" s="24" t="s">
        <v>11</v>
      </c>
      <c r="I13" s="29" t="s">
        <v>17</v>
      </c>
      <c r="J13" s="24" t="s">
        <v>18</v>
      </c>
      <c r="K13" s="41"/>
      <c r="L13" s="41"/>
      <c r="M13" s="41"/>
    </row>
    <row r="14" spans="1:20" ht="15.5" thickTop="1" thickBot="1" x14ac:dyDescent="0.4">
      <c r="A14" s="49" t="s">
        <v>4</v>
      </c>
      <c r="B14" s="27">
        <f>$B7+$B8</f>
        <v>30</v>
      </c>
      <c r="C14" s="102">
        <f>($B7*C7+$B8*C8)/($B7+$B8)</f>
        <v>276.5</v>
      </c>
      <c r="D14" s="25">
        <f>(D7+D8)</f>
        <v>404</v>
      </c>
      <c r="E14" s="101">
        <f t="shared" ref="E14:J14" si="4">($B7*E7+$B8*E8)/($B7+$B8)</f>
        <v>7462.1125351906985</v>
      </c>
      <c r="F14" s="101">
        <f t="shared" si="4"/>
        <v>54593.112506997757</v>
      </c>
      <c r="G14" s="129">
        <f t="shared" si="4"/>
        <v>3.3007132859987035E-2</v>
      </c>
      <c r="H14" s="101">
        <f t="shared" si="4"/>
        <v>9.3412533470478447</v>
      </c>
      <c r="I14" s="101">
        <f>(I7+I8)</f>
        <v>3691.094264242678</v>
      </c>
      <c r="J14" s="101">
        <f t="shared" si="4"/>
        <v>17.57663935353656</v>
      </c>
      <c r="K14" s="41"/>
      <c r="L14" s="41"/>
      <c r="M14" s="41"/>
    </row>
    <row r="15" spans="1:20" ht="15" thickBot="1" x14ac:dyDescent="0.4">
      <c r="A15" s="44" t="s">
        <v>29</v>
      </c>
      <c r="B15" s="16">
        <f>$B4+$B5+$B6</f>
        <v>41</v>
      </c>
      <c r="C15" s="97">
        <f>($B4*C4+$B5*C5+$B6*C6)/($B4+$B5+$B6)</f>
        <v>128.6829268292683</v>
      </c>
      <c r="D15" s="6">
        <f>(D4+D5+D6)</f>
        <v>1274</v>
      </c>
      <c r="E15" s="86">
        <f t="shared" ref="E15:J15" si="5">($B4*E4+$B5*E5+$B6*E6)/($B4+$B5+$B6)</f>
        <v>961.3980354143514</v>
      </c>
      <c r="F15" s="86">
        <f t="shared" si="5"/>
        <v>3931.1451678288781</v>
      </c>
      <c r="G15" s="125">
        <f t="shared" si="5"/>
        <v>4.0639477653403228E-2</v>
      </c>
      <c r="H15" s="86">
        <f t="shared" si="5"/>
        <v>1.7800603193319844</v>
      </c>
      <c r="I15" s="86">
        <f>(I4+I5+I6)</f>
        <v>2281.7146749674539</v>
      </c>
      <c r="J15" s="86">
        <f t="shared" si="5"/>
        <v>7.9502253483186571</v>
      </c>
      <c r="K15" s="41"/>
      <c r="L15" s="41"/>
      <c r="M15" s="41"/>
    </row>
    <row r="16" spans="1:20" ht="15" thickBot="1" x14ac:dyDescent="0.4">
      <c r="A16" s="45" t="s">
        <v>31</v>
      </c>
      <c r="B16" s="17">
        <f>$B10+$B11+$B12</f>
        <v>28</v>
      </c>
      <c r="C16" s="98">
        <f>($B10*C10+$B11*C11+$B12*C12)/($B10+$B11+$B12)</f>
        <v>108.85714285714286</v>
      </c>
      <c r="D16" s="10">
        <f>(D10+D11+D12)</f>
        <v>1112</v>
      </c>
      <c r="E16" s="87">
        <f t="shared" ref="E16:J16" si="6">($B10*E10+$B11*E11+$B12*E12)/($B10+$B11+$B12)</f>
        <v>547.40833174744716</v>
      </c>
      <c r="F16" s="87">
        <f t="shared" si="6"/>
        <v>1273.4819346980107</v>
      </c>
      <c r="G16" s="126">
        <f t="shared" si="6"/>
        <v>2.5907095392949241E-2</v>
      </c>
      <c r="H16" s="87">
        <f t="shared" si="6"/>
        <v>0.89823765690988899</v>
      </c>
      <c r="I16" s="87">
        <f>(I10+I11+I12)</f>
        <v>979.6968205889475</v>
      </c>
      <c r="J16" s="87">
        <f t="shared" si="6"/>
        <v>4.9984531662701404</v>
      </c>
      <c r="K16" s="41"/>
      <c r="L16" s="41"/>
      <c r="M16" s="41"/>
    </row>
    <row r="17" spans="1:13" ht="15" thickBot="1" x14ac:dyDescent="0.4">
      <c r="A17" s="46" t="s">
        <v>30</v>
      </c>
      <c r="B17" s="18">
        <f>B9</f>
        <v>4</v>
      </c>
      <c r="C17" s="99">
        <f t="shared" ref="C17:J17" si="7">C9</f>
        <v>68</v>
      </c>
      <c r="D17" s="18">
        <f t="shared" si="7"/>
        <v>146</v>
      </c>
      <c r="E17" s="88">
        <f t="shared" si="7"/>
        <v>277.01982952310726</v>
      </c>
      <c r="F17" s="88">
        <f t="shared" si="7"/>
        <v>242.07839999999931</v>
      </c>
      <c r="G17" s="127">
        <f t="shared" si="7"/>
        <v>1.637067599517281E-2</v>
      </c>
      <c r="H17" s="88">
        <f t="shared" si="7"/>
        <v>0.54833333333333156</v>
      </c>
      <c r="I17" s="88">
        <f t="shared" si="7"/>
        <v>80.056666666666402</v>
      </c>
      <c r="J17" s="88">
        <f t="shared" si="7"/>
        <v>2.8591666666666571</v>
      </c>
      <c r="K17" s="41"/>
      <c r="L17" s="41"/>
      <c r="M17" s="41"/>
    </row>
    <row r="18" spans="1:13" x14ac:dyDescent="0.35">
      <c r="A18" s="41"/>
      <c r="B18" s="41"/>
      <c r="C18" s="41"/>
      <c r="D18" s="41"/>
      <c r="E18" s="41"/>
      <c r="F18" s="41"/>
      <c r="G18" s="128"/>
      <c r="H18" s="41"/>
      <c r="I18" s="41"/>
      <c r="J18" s="41"/>
      <c r="K18" s="41"/>
      <c r="L18" s="41"/>
      <c r="M18"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Informe</vt:lpstr>
      <vt:lpstr>2008</vt:lpstr>
      <vt:lpstr>2009</vt:lpstr>
      <vt:lpstr>2010</vt:lpstr>
      <vt:lpstr>2011</vt:lpstr>
      <vt:lpstr>2012</vt:lpstr>
      <vt:lpstr>2013</vt:lpstr>
      <vt:lpstr>2014</vt:lpstr>
      <vt:lpstr>2015</vt:lpstr>
      <vt:lpstr>2016</vt:lpstr>
      <vt:lpstr>2017</vt:lpstr>
      <vt:lpstr>2018</vt:lpstr>
      <vt:lpstr>Flota total</vt:lpstr>
      <vt:lpstr>Eficiencia Media</vt:lpstr>
      <vt:lpstr>Etapa media</vt:lpstr>
      <vt:lpstr>Utilización Diaria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Cubas Cano</dc:creator>
  <cp:lastModifiedBy>Alumno</cp:lastModifiedBy>
  <dcterms:created xsi:type="dcterms:W3CDTF">2015-11-10T15:36:09Z</dcterms:created>
  <dcterms:modified xsi:type="dcterms:W3CDTF">2018-12-14T08:52:49Z</dcterms:modified>
</cp:coreProperties>
</file>