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mno\Downloads\"/>
    </mc:Choice>
  </mc:AlternateContent>
  <bookViews>
    <workbookView xWindow="0" yWindow="0" windowWidth="19200" windowHeight="7050" tabRatio="713" firstSheet="1" activeTab="13"/>
  </bookViews>
  <sheets>
    <sheet name="Informe" sheetId="34" r:id="rId1"/>
    <sheet name="2008" sheetId="20" r:id="rId2"/>
    <sheet name="2009" sheetId="21" r:id="rId3"/>
    <sheet name="2010" sheetId="22" r:id="rId4"/>
    <sheet name="2011" sheetId="23" r:id="rId5"/>
    <sheet name="2012" sheetId="24" r:id="rId6"/>
    <sheet name="2013" sheetId="25" r:id="rId7"/>
    <sheet name="2014" sheetId="26" r:id="rId8"/>
    <sheet name="2015" sheetId="27" r:id="rId9"/>
    <sheet name="2016" sheetId="17" r:id="rId10"/>
    <sheet name="2017" sheetId="18" r:id="rId11"/>
    <sheet name="2018" sheetId="19" r:id="rId12"/>
    <sheet name="Flota total" sheetId="29" r:id="rId13"/>
    <sheet name="Eficiencia Media" sheetId="30" r:id="rId14"/>
    <sheet name="Etapa media" sheetId="32" r:id="rId15"/>
    <sheet name="Utilización Diaria" sheetId="33" r:id="rId1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33" l="1"/>
  <c r="K16" i="33"/>
  <c r="J16" i="33"/>
  <c r="H16" i="33"/>
  <c r="G16" i="33"/>
  <c r="F16" i="33"/>
  <c r="E16" i="33"/>
  <c r="L15" i="33"/>
  <c r="K15" i="33"/>
  <c r="I15" i="33"/>
  <c r="H15" i="33"/>
  <c r="G15" i="33"/>
  <c r="F15" i="33"/>
  <c r="E15" i="33"/>
  <c r="C15" i="33"/>
  <c r="K14" i="33"/>
  <c r="J14" i="33"/>
  <c r="I14" i="33"/>
  <c r="H14" i="33"/>
  <c r="G14" i="33"/>
  <c r="F14" i="33"/>
  <c r="E14" i="33"/>
  <c r="I13" i="33"/>
  <c r="H13" i="33"/>
  <c r="E13" i="33"/>
  <c r="H12" i="33"/>
  <c r="L16" i="32"/>
  <c r="K16" i="32"/>
  <c r="J16" i="32"/>
  <c r="H16" i="32"/>
  <c r="G16" i="32"/>
  <c r="F16" i="32"/>
  <c r="E16" i="32"/>
  <c r="L15" i="32"/>
  <c r="K15" i="32"/>
  <c r="I15" i="32"/>
  <c r="H15" i="32"/>
  <c r="G15" i="32"/>
  <c r="F15" i="32"/>
  <c r="E15" i="32"/>
  <c r="D15" i="32"/>
  <c r="C15" i="32"/>
  <c r="K14" i="32"/>
  <c r="J14" i="32"/>
  <c r="I14" i="32"/>
  <c r="H14" i="32"/>
  <c r="G14" i="32"/>
  <c r="F14" i="32"/>
  <c r="E14" i="32"/>
  <c r="I13" i="32"/>
  <c r="H13" i="32"/>
  <c r="E13" i="32"/>
  <c r="H12" i="32"/>
  <c r="L16" i="30"/>
  <c r="K16" i="30"/>
  <c r="J16" i="30"/>
  <c r="H16" i="30"/>
  <c r="G16" i="30"/>
  <c r="F16" i="30"/>
  <c r="E16" i="30"/>
  <c r="L15" i="30"/>
  <c r="K15" i="30"/>
  <c r="I15" i="30"/>
  <c r="H15" i="30"/>
  <c r="G15" i="30"/>
  <c r="F15" i="30"/>
  <c r="E15" i="30"/>
  <c r="D15" i="30"/>
  <c r="C15" i="30"/>
  <c r="K14" i="30"/>
  <c r="J14" i="30"/>
  <c r="I14" i="30"/>
  <c r="H14" i="30"/>
  <c r="G14" i="30"/>
  <c r="F14" i="30"/>
  <c r="E14" i="30"/>
  <c r="I13" i="30"/>
  <c r="H13" i="30"/>
  <c r="E13" i="30"/>
  <c r="H12" i="30"/>
  <c r="G8" i="19"/>
  <c r="J7" i="18"/>
  <c r="J6" i="18"/>
  <c r="J5" i="18"/>
  <c r="J4" i="18"/>
  <c r="J5" i="26"/>
  <c r="J4" i="26"/>
  <c r="E13" i="19" l="1"/>
  <c r="B13" i="19"/>
  <c r="D14" i="19"/>
  <c r="B14" i="19"/>
  <c r="C14" i="19" s="1"/>
  <c r="D14" i="17"/>
  <c r="B14" i="17"/>
  <c r="C14" i="17" s="1"/>
  <c r="D14" i="18"/>
  <c r="B14" i="18"/>
  <c r="C14" i="18" s="1"/>
  <c r="D14" i="27"/>
  <c r="C14" i="27"/>
  <c r="B14" i="27"/>
  <c r="B14" i="26"/>
  <c r="C15" i="17"/>
  <c r="B15" i="17"/>
  <c r="C14" i="25"/>
  <c r="E6" i="24"/>
  <c r="G6" i="24" s="1"/>
  <c r="E5" i="24"/>
  <c r="G5" i="24" s="1"/>
  <c r="E4" i="24"/>
  <c r="G4" i="24" s="1"/>
  <c r="D14" i="24"/>
  <c r="B14" i="24"/>
  <c r="C14" i="24" s="1"/>
  <c r="C14" i="26" l="1"/>
  <c r="J14" i="26"/>
  <c r="E14" i="24"/>
  <c r="D14" i="23"/>
  <c r="C14" i="23"/>
  <c r="D14" i="22"/>
  <c r="C14" i="22"/>
  <c r="B14" i="22"/>
  <c r="D14" i="21"/>
  <c r="C14" i="21"/>
  <c r="E4" i="19" l="1"/>
  <c r="E5" i="19"/>
  <c r="G5" i="19" s="1"/>
  <c r="E6" i="19"/>
  <c r="G6" i="19" s="1"/>
  <c r="E7" i="19"/>
  <c r="G7" i="19" s="1"/>
  <c r="E7" i="18"/>
  <c r="G7" i="18" s="1"/>
  <c r="E6" i="18"/>
  <c r="G6" i="18" s="1"/>
  <c r="E5" i="18"/>
  <c r="G5" i="18" s="1"/>
  <c r="E4" i="18"/>
  <c r="E11" i="17"/>
  <c r="E10" i="17"/>
  <c r="E9" i="17"/>
  <c r="G9" i="17" s="1"/>
  <c r="E8" i="17"/>
  <c r="G8" i="17" s="1"/>
  <c r="E7" i="17"/>
  <c r="G7" i="17" s="1"/>
  <c r="E6" i="17"/>
  <c r="G6" i="17" s="1"/>
  <c r="E5" i="17"/>
  <c r="G5" i="17" s="1"/>
  <c r="E4" i="17"/>
  <c r="E6" i="27"/>
  <c r="G6" i="27" s="1"/>
  <c r="E5" i="27"/>
  <c r="G5" i="27" s="1"/>
  <c r="E4" i="27"/>
  <c r="E6" i="26"/>
  <c r="G6" i="26" s="1"/>
  <c r="D5" i="26"/>
  <c r="D4" i="26"/>
  <c r="D14" i="26" s="1"/>
  <c r="D5" i="25"/>
  <c r="D4" i="25"/>
  <c r="D14" i="25" s="1"/>
  <c r="E4" i="23"/>
  <c r="E5" i="23"/>
  <c r="G5" i="23" s="1"/>
  <c r="E7" i="22"/>
  <c r="G7" i="22" s="1"/>
  <c r="E6" i="22"/>
  <c r="G6" i="22" s="1"/>
  <c r="E5" i="22"/>
  <c r="G5" i="22" s="1"/>
  <c r="E4" i="22"/>
  <c r="E7" i="21"/>
  <c r="G7" i="21" s="1"/>
  <c r="E6" i="21"/>
  <c r="G6" i="21" s="1"/>
  <c r="E5" i="21"/>
  <c r="G5" i="21" s="1"/>
  <c r="E4" i="21"/>
  <c r="E4" i="20"/>
  <c r="G4" i="18" l="1"/>
  <c r="E14" i="18"/>
  <c r="G4" i="20"/>
  <c r="E14" i="20"/>
  <c r="G4" i="27"/>
  <c r="E14" i="27"/>
  <c r="G4" i="22"/>
  <c r="E14" i="22"/>
  <c r="E4" i="25"/>
  <c r="G4" i="25" s="1"/>
  <c r="E4" i="26"/>
  <c r="G4" i="26" s="1"/>
  <c r="G10" i="17"/>
  <c r="E13" i="17"/>
  <c r="G4" i="17"/>
  <c r="E14" i="17"/>
  <c r="G4" i="21"/>
  <c r="E14" i="21"/>
  <c r="G4" i="23"/>
  <c r="E14" i="23"/>
  <c r="E5" i="25"/>
  <c r="G5" i="25" s="1"/>
  <c r="E5" i="26"/>
  <c r="G5" i="26" s="1"/>
  <c r="G11" i="17"/>
  <c r="E15" i="17"/>
  <c r="G4" i="19"/>
  <c r="E14" i="19"/>
  <c r="H12" i="29"/>
  <c r="E13" i="29"/>
  <c r="H13" i="29"/>
  <c r="I13" i="29"/>
  <c r="E14" i="29"/>
  <c r="F14" i="29"/>
  <c r="G14" i="29"/>
  <c r="H14" i="29"/>
  <c r="I14" i="29"/>
  <c r="J14" i="29"/>
  <c r="K14" i="29"/>
  <c r="C15" i="29"/>
  <c r="D15" i="29"/>
  <c r="E15" i="29"/>
  <c r="F15" i="29"/>
  <c r="G15" i="29"/>
  <c r="H15" i="29"/>
  <c r="I15" i="29"/>
  <c r="K15" i="29"/>
  <c r="L15" i="29"/>
  <c r="E16" i="29"/>
  <c r="F16" i="29"/>
  <c r="G16" i="29"/>
  <c r="H16" i="29"/>
  <c r="J16" i="29"/>
  <c r="K16" i="29"/>
  <c r="L16" i="29"/>
  <c r="E14" i="26" l="1"/>
  <c r="E14" i="25"/>
</calcChain>
</file>

<file path=xl/sharedStrings.xml><?xml version="1.0" encoding="utf-8"?>
<sst xmlns="http://schemas.openxmlformats.org/spreadsheetml/2006/main" count="446" uniqueCount="60">
  <si>
    <t>N Asientos</t>
  </si>
  <si>
    <t>Eficiencia media</t>
  </si>
  <si>
    <t>MODELO (OACI)</t>
  </si>
  <si>
    <t>TIPO DE AVIÓN</t>
  </si>
  <si>
    <t>Largo alcance</t>
  </si>
  <si>
    <t>Medio alcance</t>
  </si>
  <si>
    <t>Corto alcance (Jet)</t>
  </si>
  <si>
    <t>Corto alcance (Hélice)</t>
  </si>
  <si>
    <t>Factor de ocupacion ese año</t>
  </si>
  <si>
    <t>Distancia media (km)</t>
  </si>
  <si>
    <t>Combustible medio (kg)</t>
  </si>
  <si>
    <t>Etapa media (h)</t>
  </si>
  <si>
    <t>Flota Total</t>
  </si>
  <si>
    <t>Operaciones Semana</t>
  </si>
  <si>
    <t>Operaciones Semana
total</t>
  </si>
  <si>
    <t>Horas Bloque Semana (h)</t>
  </si>
  <si>
    <t>Utilizacion Diaria</t>
  </si>
  <si>
    <t>Horas Bloque (h)
total</t>
  </si>
  <si>
    <t xml:space="preserve">Utilizacion Diaria </t>
  </si>
  <si>
    <t>N Asientos
medio</t>
  </si>
  <si>
    <t>Compañía Aerea Analizada</t>
  </si>
  <si>
    <t>Hipotesis y decisiones</t>
  </si>
  <si>
    <t>Bibliografía de referencia</t>
  </si>
  <si>
    <t>Datos de ocupación:</t>
  </si>
  <si>
    <t>Datos de flota:</t>
  </si>
  <si>
    <t>…</t>
  </si>
  <si>
    <t>Cálculo de etapa media</t>
  </si>
  <si>
    <t>Asientos</t>
  </si>
  <si>
    <t>Comentarios</t>
  </si>
  <si>
    <t>Corto-Medio alcance</t>
  </si>
  <si>
    <t>Reginal (turbohelice)</t>
  </si>
  <si>
    <t>Regional (reactor)</t>
  </si>
  <si>
    <t>Componente:</t>
  </si>
  <si>
    <t>Número de Grupo:</t>
  </si>
  <si>
    <t>A320</t>
  </si>
  <si>
    <t>B734</t>
  </si>
  <si>
    <t>B712</t>
  </si>
  <si>
    <t>B752</t>
  </si>
  <si>
    <t>MD83</t>
  </si>
  <si>
    <t>B738</t>
  </si>
  <si>
    <t>A319</t>
  </si>
  <si>
    <t>A321</t>
  </si>
  <si>
    <t>A332</t>
  </si>
  <si>
    <t>B733</t>
  </si>
  <si>
    <t>B763</t>
  </si>
  <si>
    <t>CRJX</t>
  </si>
  <si>
    <t>FLOTA TOTAL VUELING</t>
  </si>
  <si>
    <t>EICENCIA MEDIA VUELING</t>
  </si>
  <si>
    <t>ETAPA MEDIA VUELING</t>
  </si>
  <si>
    <t>UTILIZACION DIARIA VUELING</t>
  </si>
  <si>
    <t>VUELING Airlines</t>
  </si>
  <si>
    <t>Usón Bernadaus, Jorge</t>
  </si>
  <si>
    <t>Sanz Garzón, Carlos</t>
  </si>
  <si>
    <t>Barceló Adrover, Marc</t>
  </si>
  <si>
    <t>Datos de asientos:</t>
  </si>
  <si>
    <t>www.seatguru.com/airlines/Vueling_Airlines/information.php</t>
  </si>
  <si>
    <t>www.airfleets.es/flottecie/Vueling Airlines.htm</t>
  </si>
  <si>
    <t>Se tienen en cuenta todas las aeronaves con matrícula presentadas en el excel descargado de la app de matlab</t>
  </si>
  <si>
    <t>Izquierdo Cantero, Alejandro</t>
  </si>
  <si>
    <t>http://www.es.iairgroup.com/phoenix.zhtml?c=240950&amp;p=irol-reportsannual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</si>
</sst>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0.000"/>
    <numFmt numFmtId="165" formatCode="_-* #,##0.000\ _€_-;\-* #,##0.000\ _€_-;_-* &quot;-&quot;??\ _€_-;_-@_-"/>
  </numFmts>
  <fonts count="1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FBFBF"/>
        <bgColor rgb="FFBFBFBF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3F3F3F"/>
      </bottom>
      <diagonal/>
    </border>
    <border>
      <left style="medium">
        <color indexed="64"/>
      </left>
      <right style="medium">
        <color indexed="64"/>
      </right>
      <top/>
      <bottom style="medium">
        <color rgb="FF3F3F3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120">
    <xf numFmtId="0" fontId="0" fillId="0" borderId="0" xfId="0"/>
    <xf numFmtId="0" fontId="2" fillId="9" borderId="4" xfId="2" applyFill="1" applyBorder="1" applyAlignment="1">
      <alignment vertical="center"/>
    </xf>
    <xf numFmtId="0" fontId="0" fillId="0" borderId="0" xfId="0"/>
    <xf numFmtId="0" fontId="4" fillId="8" borderId="5" xfId="1" applyFont="1" applyFill="1" applyBorder="1" applyAlignment="1">
      <alignment horizontal="center" vertical="center"/>
    </xf>
    <xf numFmtId="0" fontId="4" fillId="8" borderId="5" xfId="1" applyFont="1" applyFill="1" applyBorder="1" applyAlignment="1">
      <alignment horizontal="center"/>
    </xf>
    <xf numFmtId="0" fontId="1" fillId="5" borderId="5" xfId="1" applyFill="1" applyBorder="1" applyAlignment="1">
      <alignment horizontal="center" vertical="center"/>
    </xf>
    <xf numFmtId="0" fontId="1" fillId="5" borderId="5" xfId="1" applyFill="1" applyBorder="1" applyAlignment="1">
      <alignment horizontal="center"/>
    </xf>
    <xf numFmtId="0" fontId="1" fillId="6" borderId="5" xfId="1" applyFill="1" applyBorder="1" applyAlignment="1">
      <alignment horizontal="center"/>
    </xf>
    <xf numFmtId="0" fontId="1" fillId="6" borderId="5" xfId="1" applyFill="1" applyBorder="1" applyAlignment="1">
      <alignment horizontal="center" vertical="center"/>
    </xf>
    <xf numFmtId="164" fontId="1" fillId="6" borderId="5" xfId="1" applyNumberFormat="1" applyFill="1" applyBorder="1" applyAlignment="1">
      <alignment horizontal="center"/>
    </xf>
    <xf numFmtId="0" fontId="1" fillId="4" borderId="5" xfId="1" applyFill="1" applyBorder="1" applyAlignment="1">
      <alignment horizontal="center"/>
    </xf>
    <xf numFmtId="0" fontId="1" fillId="4" borderId="5" xfId="1" applyFill="1" applyBorder="1" applyAlignment="1">
      <alignment horizontal="center" vertical="center"/>
    </xf>
    <xf numFmtId="164" fontId="1" fillId="4" borderId="5" xfId="1" applyNumberFormat="1" applyFill="1" applyBorder="1" applyAlignment="1">
      <alignment horizontal="center"/>
    </xf>
    <xf numFmtId="0" fontId="5" fillId="8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2" fillId="9" borderId="4" xfId="2" applyFill="1" applyBorder="1" applyAlignment="1">
      <alignment horizontal="center" vertical="center"/>
    </xf>
    <xf numFmtId="0" fontId="1" fillId="8" borderId="5" xfId="1" applyFill="1" applyBorder="1" applyAlignment="1">
      <alignment horizontal="center" vertical="center"/>
    </xf>
    <xf numFmtId="0" fontId="1" fillId="8" borderId="5" xfId="1" applyFill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vertical="center"/>
    </xf>
    <xf numFmtId="0" fontId="2" fillId="9" borderId="4" xfId="2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/>
    </xf>
    <xf numFmtId="0" fontId="7" fillId="0" borderId="0" xfId="0" applyFont="1"/>
    <xf numFmtId="0" fontId="2" fillId="0" borderId="4" xfId="2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Fill="1"/>
    <xf numFmtId="0" fontId="6" fillId="6" borderId="0" xfId="0" applyFont="1" applyFill="1" applyBorder="1" applyAlignment="1">
      <alignment vertical="center"/>
    </xf>
    <xf numFmtId="0" fontId="7" fillId="6" borderId="0" xfId="0" applyFont="1" applyFill="1" applyBorder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2" fillId="9" borderId="0" xfId="2" applyFill="1" applyBorder="1" applyAlignment="1">
      <alignment vertical="center"/>
    </xf>
    <xf numFmtId="0" fontId="6" fillId="7" borderId="0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1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horizontal="center" vertical="center"/>
    </xf>
    <xf numFmtId="0" fontId="1" fillId="4" borderId="15" xfId="1" applyFill="1" applyBorder="1" applyAlignment="1">
      <alignment horizontal="center"/>
    </xf>
    <xf numFmtId="0" fontId="2" fillId="9" borderId="16" xfId="2" applyFill="1" applyBorder="1" applyAlignment="1">
      <alignment horizontal="center" vertical="center"/>
    </xf>
    <xf numFmtId="0" fontId="2" fillId="9" borderId="16" xfId="2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8" fillId="0" borderId="5" xfId="0" applyFont="1" applyBorder="1" applyAlignment="1"/>
    <xf numFmtId="0" fontId="2" fillId="9" borderId="5" xfId="2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 vertical="center"/>
    </xf>
    <xf numFmtId="0" fontId="1" fillId="5" borderId="5" xfId="1" applyNumberFormat="1" applyFill="1" applyBorder="1" applyAlignment="1">
      <alignment horizontal="center"/>
    </xf>
    <xf numFmtId="0" fontId="1" fillId="8" borderId="5" xfId="1" applyNumberFormat="1" applyFill="1" applyBorder="1" applyAlignment="1">
      <alignment horizontal="center"/>
    </xf>
    <xf numFmtId="0" fontId="1" fillId="6" borderId="5" xfId="1" applyNumberFormat="1" applyFill="1" applyBorder="1" applyAlignment="1">
      <alignment horizontal="center"/>
    </xf>
    <xf numFmtId="0" fontId="1" fillId="4" borderId="5" xfId="1" applyNumberFormat="1" applyFill="1" applyBorder="1" applyAlignment="1">
      <alignment horizontal="center"/>
    </xf>
    <xf numFmtId="0" fontId="0" fillId="0" borderId="0" xfId="0" applyNumberFormat="1"/>
    <xf numFmtId="0" fontId="10" fillId="6" borderId="0" xfId="3" applyFill="1" applyBorder="1" applyAlignment="1">
      <alignment horizontal="left" vertical="center"/>
    </xf>
    <xf numFmtId="0" fontId="3" fillId="8" borderId="7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6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0" fillId="0" borderId="0" xfId="0" applyFont="1"/>
    <xf numFmtId="0" fontId="0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/>
    </xf>
    <xf numFmtId="0" fontId="2" fillId="9" borderId="5" xfId="2" applyFont="1" applyFill="1" applyBorder="1" applyAlignment="1">
      <alignment horizontal="center" vertical="center"/>
    </xf>
    <xf numFmtId="164" fontId="0" fillId="0" borderId="0" xfId="0" applyNumberFormat="1"/>
    <xf numFmtId="2" fontId="1" fillId="8" borderId="5" xfId="1" applyNumberFormat="1" applyFill="1" applyBorder="1" applyAlignment="1">
      <alignment horizontal="center"/>
    </xf>
    <xf numFmtId="2" fontId="1" fillId="8" borderId="5" xfId="1" applyNumberFormat="1" applyFill="1" applyBorder="1" applyAlignment="1">
      <alignment horizontal="center" vertical="center"/>
    </xf>
    <xf numFmtId="2" fontId="1" fillId="5" borderId="5" xfId="1" applyNumberFormat="1" applyFill="1" applyBorder="1" applyAlignment="1">
      <alignment horizontal="center"/>
    </xf>
    <xf numFmtId="2" fontId="1" fillId="5" borderId="5" xfId="1" applyNumberFormat="1" applyFill="1" applyBorder="1" applyAlignment="1">
      <alignment horizontal="center" vertical="center"/>
    </xf>
    <xf numFmtId="2" fontId="1" fillId="6" borderId="5" xfId="1" applyNumberFormat="1" applyFill="1" applyBorder="1" applyAlignment="1">
      <alignment horizontal="center"/>
    </xf>
    <xf numFmtId="2" fontId="1" fillId="6" borderId="5" xfId="1" applyNumberFormat="1" applyFill="1" applyBorder="1" applyAlignment="1">
      <alignment horizontal="center" vertical="center"/>
    </xf>
    <xf numFmtId="2" fontId="1" fillId="4" borderId="5" xfId="1" applyNumberFormat="1" applyFill="1" applyBorder="1" applyAlignment="1">
      <alignment horizontal="center"/>
    </xf>
    <xf numFmtId="2" fontId="1" fillId="4" borderId="5" xfId="1" applyNumberFormat="1" applyFill="1" applyBorder="1" applyAlignment="1">
      <alignment horizontal="center" vertical="center"/>
    </xf>
    <xf numFmtId="2" fontId="0" fillId="0" borderId="0" xfId="0" applyNumberFormat="1"/>
    <xf numFmtId="2" fontId="2" fillId="9" borderId="5" xfId="2" applyNumberFormat="1" applyFill="1" applyBorder="1" applyAlignment="1">
      <alignment horizontal="center" vertical="center"/>
    </xf>
    <xf numFmtId="2" fontId="8" fillId="7" borderId="5" xfId="0" applyNumberFormat="1" applyFont="1" applyFill="1" applyBorder="1" applyAlignment="1">
      <alignment horizontal="center" vertical="center"/>
    </xf>
    <xf numFmtId="2" fontId="8" fillId="7" borderId="5" xfId="0" applyNumberFormat="1" applyFont="1" applyFill="1" applyBorder="1" applyAlignment="1">
      <alignment horizontal="center"/>
    </xf>
    <xf numFmtId="1" fontId="2" fillId="9" borderId="5" xfId="2" applyNumberFormat="1" applyFill="1" applyBorder="1" applyAlignment="1">
      <alignment horizontal="center" vertical="center"/>
    </xf>
    <xf numFmtId="2" fontId="4" fillId="8" borderId="5" xfId="1" applyNumberFormat="1" applyFont="1" applyFill="1" applyBorder="1" applyAlignment="1">
      <alignment horizontal="center"/>
    </xf>
    <xf numFmtId="2" fontId="4" fillId="8" borderId="5" xfId="1" applyNumberFormat="1" applyFont="1" applyFill="1" applyBorder="1" applyAlignment="1">
      <alignment horizontal="center" vertical="center"/>
    </xf>
    <xf numFmtId="2" fontId="2" fillId="9" borderId="4" xfId="2" applyNumberFormat="1" applyFill="1" applyBorder="1" applyAlignment="1">
      <alignment horizontal="center" vertical="center"/>
    </xf>
    <xf numFmtId="2" fontId="2" fillId="9" borderId="4" xfId="2" applyNumberFormat="1" applyFill="1" applyBorder="1" applyAlignment="1">
      <alignment horizontal="center" vertical="center" wrapText="1"/>
    </xf>
    <xf numFmtId="2" fontId="9" fillId="10" borderId="17" xfId="0" applyNumberFormat="1" applyFont="1" applyFill="1" applyBorder="1" applyAlignment="1">
      <alignment horizontal="center"/>
    </xf>
    <xf numFmtId="2" fontId="1" fillId="4" borderId="15" xfId="1" applyNumberForma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2" fillId="9" borderId="16" xfId="2" applyNumberFormat="1" applyFill="1" applyBorder="1" applyAlignment="1">
      <alignment horizontal="center" vertical="center"/>
    </xf>
    <xf numFmtId="2" fontId="3" fillId="8" borderId="5" xfId="1" applyNumberFormat="1" applyFont="1" applyFill="1" applyBorder="1" applyAlignment="1">
      <alignment horizontal="center"/>
    </xf>
    <xf numFmtId="2" fontId="3" fillId="8" borderId="5" xfId="1" applyNumberFormat="1" applyFont="1" applyFill="1" applyBorder="1" applyAlignment="1">
      <alignment horizontal="center" vertical="center"/>
    </xf>
    <xf numFmtId="2" fontId="3" fillId="5" borderId="5" xfId="1" applyNumberFormat="1" applyFont="1" applyFill="1" applyBorder="1" applyAlignment="1">
      <alignment horizontal="center"/>
    </xf>
    <xf numFmtId="2" fontId="3" fillId="5" borderId="5" xfId="1" applyNumberFormat="1" applyFont="1" applyFill="1" applyBorder="1" applyAlignment="1">
      <alignment horizontal="center" vertical="center"/>
    </xf>
    <xf numFmtId="2" fontId="3" fillId="6" borderId="5" xfId="1" applyNumberFormat="1" applyFont="1" applyFill="1" applyBorder="1" applyAlignment="1">
      <alignment horizontal="center"/>
    </xf>
    <xf numFmtId="2" fontId="3" fillId="6" borderId="5" xfId="1" applyNumberFormat="1" applyFont="1" applyFill="1" applyBorder="1" applyAlignment="1">
      <alignment horizontal="center" vertical="center"/>
    </xf>
    <xf numFmtId="2" fontId="3" fillId="4" borderId="5" xfId="1" applyNumberFormat="1" applyFont="1" applyFill="1" applyBorder="1" applyAlignment="1">
      <alignment horizontal="center"/>
    </xf>
    <xf numFmtId="2" fontId="3" fillId="4" borderId="5" xfId="1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11" fillId="7" borderId="5" xfId="1" applyNumberFormat="1" applyFont="1" applyFill="1" applyBorder="1" applyAlignment="1">
      <alignment horizontal="center"/>
    </xf>
    <xf numFmtId="2" fontId="0" fillId="7" borderId="5" xfId="0" applyNumberFormat="1" applyFont="1" applyFill="1" applyBorder="1" applyAlignment="1">
      <alignment horizontal="center"/>
    </xf>
    <xf numFmtId="0" fontId="2" fillId="9" borderId="11" xfId="2" applyFill="1" applyBorder="1" applyAlignment="1">
      <alignment horizontal="center" vertical="center"/>
    </xf>
    <xf numFmtId="0" fontId="2" fillId="9" borderId="12" xfId="2" applyFill="1" applyBorder="1" applyAlignment="1">
      <alignment horizontal="center" vertical="center"/>
    </xf>
    <xf numFmtId="0" fontId="2" fillId="9" borderId="5" xfId="2" applyFill="1" applyBorder="1" applyAlignment="1">
      <alignment horizontal="center" vertical="center"/>
    </xf>
    <xf numFmtId="0" fontId="2" fillId="9" borderId="10" xfId="2" applyFill="1" applyBorder="1" applyAlignment="1">
      <alignment horizontal="center" vertical="center"/>
    </xf>
    <xf numFmtId="164" fontId="2" fillId="9" borderId="5" xfId="2" applyNumberFormat="1" applyFill="1" applyBorder="1" applyAlignment="1">
      <alignment horizontal="center" vertical="center"/>
    </xf>
    <xf numFmtId="2" fontId="2" fillId="9" borderId="5" xfId="2" applyNumberFormat="1" applyFill="1" applyBorder="1" applyAlignment="1">
      <alignment horizontal="center" vertical="center"/>
    </xf>
    <xf numFmtId="0" fontId="2" fillId="9" borderId="5" xfId="2" applyFont="1" applyFill="1" applyBorder="1" applyAlignment="1">
      <alignment horizontal="center" vertical="center"/>
    </xf>
    <xf numFmtId="165" fontId="4" fillId="8" borderId="5" xfId="4" applyNumberFormat="1" applyFont="1" applyFill="1" applyBorder="1" applyAlignment="1">
      <alignment horizontal="center"/>
    </xf>
    <xf numFmtId="165" fontId="1" fillId="5" borderId="5" xfId="4" applyNumberFormat="1" applyFont="1" applyFill="1" applyBorder="1" applyAlignment="1">
      <alignment horizontal="center"/>
    </xf>
    <xf numFmtId="165" fontId="1" fillId="6" borderId="5" xfId="4" applyNumberFormat="1" applyFont="1" applyFill="1" applyBorder="1" applyAlignment="1">
      <alignment horizontal="center"/>
    </xf>
    <xf numFmtId="165" fontId="1" fillId="4" borderId="5" xfId="4" applyNumberFormat="1" applyFont="1" applyFill="1" applyBorder="1" applyAlignment="1">
      <alignment horizontal="center"/>
    </xf>
    <xf numFmtId="165" fontId="0" fillId="0" borderId="0" xfId="4" applyNumberFormat="1" applyFont="1"/>
    <xf numFmtId="165" fontId="2" fillId="9" borderId="4" xfId="4" applyNumberFormat="1" applyFont="1" applyFill="1" applyBorder="1" applyAlignment="1">
      <alignment horizontal="center" vertical="center"/>
    </xf>
    <xf numFmtId="165" fontId="1" fillId="8" borderId="5" xfId="4" applyNumberFormat="1" applyFont="1" applyFill="1" applyBorder="1" applyAlignment="1">
      <alignment horizontal="center"/>
    </xf>
    <xf numFmtId="165" fontId="9" fillId="10" borderId="17" xfId="4" applyNumberFormat="1" applyFont="1" applyFill="1" applyBorder="1" applyAlignment="1">
      <alignment horizontal="center"/>
    </xf>
    <xf numFmtId="165" fontId="1" fillId="8" borderId="5" xfId="4" applyNumberFormat="1" applyFont="1" applyFill="1" applyBorder="1" applyAlignment="1">
      <alignment horizontal="center" vertical="center"/>
    </xf>
    <xf numFmtId="165" fontId="1" fillId="5" borderId="5" xfId="4" applyNumberFormat="1" applyFont="1" applyFill="1" applyBorder="1" applyAlignment="1">
      <alignment horizontal="center" vertical="center"/>
    </xf>
    <xf numFmtId="165" fontId="1" fillId="6" borderId="5" xfId="4" applyNumberFormat="1" applyFont="1" applyFill="1" applyBorder="1" applyAlignment="1">
      <alignment horizontal="center" vertical="center"/>
    </xf>
    <xf numFmtId="165" fontId="1" fillId="4" borderId="5" xfId="4" applyNumberFormat="1" applyFont="1" applyFill="1" applyBorder="1" applyAlignment="1">
      <alignment horizontal="center" vertical="center"/>
    </xf>
    <xf numFmtId="165" fontId="8" fillId="7" borderId="5" xfId="4" applyNumberFormat="1" applyFont="1" applyFill="1" applyBorder="1" applyAlignment="1">
      <alignment horizontal="center" vertical="center"/>
    </xf>
    <xf numFmtId="165" fontId="8" fillId="7" borderId="5" xfId="4" applyNumberFormat="1" applyFont="1" applyFill="1" applyBorder="1" applyAlignment="1">
      <alignment horizontal="center"/>
    </xf>
  </cellXfs>
  <cellStyles count="5">
    <cellStyle name="Celda de comprobación" xfId="2" builtinId="23"/>
    <cellStyle name="Hipervínculo" xfId="3" builtinId="8"/>
    <cellStyle name="Millares" xfId="4" builtinId="3"/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irfleets.es/flottecie/Vueling%20Airlines.htm" TargetMode="External"/><Relationship Id="rId1" Type="http://schemas.openxmlformats.org/officeDocument/2006/relationships/hyperlink" Target="http://www.seatguru.com/airlines/Vueling_Airlines/information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B1" workbookViewId="0">
      <selection activeCell="B10" sqref="B10"/>
    </sheetView>
  </sheetViews>
  <sheetFormatPr baseColWidth="10" defaultColWidth="11.453125" defaultRowHeight="14.5" x14ac:dyDescent="0.35"/>
  <cols>
    <col min="1" max="1" width="27.7265625" style="2" customWidth="1"/>
    <col min="2" max="2" width="172" style="2" customWidth="1"/>
    <col min="3" max="16384" width="11.453125" style="2"/>
  </cols>
  <sheetData>
    <row r="1" spans="1:2" s="32" customFormat="1" ht="15.5" thickTop="1" thickBot="1" x14ac:dyDescent="0.4">
      <c r="A1" s="30"/>
      <c r="B1" s="31"/>
    </row>
    <row r="2" spans="1:2" ht="15.5" thickTop="1" thickBot="1" x14ac:dyDescent="0.4">
      <c r="A2" s="1" t="s">
        <v>20</v>
      </c>
      <c r="B2" s="38" t="s">
        <v>50</v>
      </c>
    </row>
    <row r="3" spans="1:2" ht="15" thickTop="1" x14ac:dyDescent="0.35">
      <c r="A3" s="36" t="s">
        <v>33</v>
      </c>
      <c r="B3" s="37">
        <v>5</v>
      </c>
    </row>
    <row r="4" spans="1:2" x14ac:dyDescent="0.35">
      <c r="A4" s="36" t="s">
        <v>32</v>
      </c>
      <c r="B4" s="37" t="s">
        <v>53</v>
      </c>
    </row>
    <row r="5" spans="1:2" x14ac:dyDescent="0.35">
      <c r="A5" s="36" t="s">
        <v>32</v>
      </c>
      <c r="B5" s="37" t="s">
        <v>58</v>
      </c>
    </row>
    <row r="6" spans="1:2" x14ac:dyDescent="0.35">
      <c r="A6" s="36" t="s">
        <v>32</v>
      </c>
      <c r="B6" s="37" t="s">
        <v>52</v>
      </c>
    </row>
    <row r="7" spans="1:2" x14ac:dyDescent="0.35">
      <c r="A7" s="36" t="s">
        <v>32</v>
      </c>
      <c r="B7" s="37" t="s">
        <v>51</v>
      </c>
    </row>
    <row r="8" spans="1:2" ht="15" thickBot="1" x14ac:dyDescent="0.4"/>
    <row r="9" spans="1:2" ht="15" thickTop="1" x14ac:dyDescent="0.35">
      <c r="A9" s="99" t="s">
        <v>21</v>
      </c>
      <c r="B9" s="100"/>
    </row>
    <row r="10" spans="1:2" x14ac:dyDescent="0.35">
      <c r="A10" s="33" t="s">
        <v>26</v>
      </c>
      <c r="B10" s="34" t="s">
        <v>57</v>
      </c>
    </row>
    <row r="11" spans="1:2" x14ac:dyDescent="0.35">
      <c r="A11" s="33" t="s">
        <v>27</v>
      </c>
      <c r="B11" s="34"/>
    </row>
    <row r="12" spans="1:2" x14ac:dyDescent="0.35">
      <c r="A12" s="34" t="s">
        <v>25</v>
      </c>
      <c r="B12" s="34" t="s">
        <v>25</v>
      </c>
    </row>
    <row r="13" spans="1:2" x14ac:dyDescent="0.35">
      <c r="A13" s="34" t="s">
        <v>25</v>
      </c>
      <c r="B13" s="34" t="s">
        <v>25</v>
      </c>
    </row>
    <row r="14" spans="1:2" x14ac:dyDescent="0.35">
      <c r="A14" s="34" t="s">
        <v>25</v>
      </c>
      <c r="B14" s="34" t="s">
        <v>25</v>
      </c>
    </row>
    <row r="15" spans="1:2" x14ac:dyDescent="0.35">
      <c r="A15" s="34" t="s">
        <v>25</v>
      </c>
      <c r="B15" s="34" t="s">
        <v>25</v>
      </c>
    </row>
    <row r="16" spans="1:2" x14ac:dyDescent="0.35">
      <c r="A16" s="34" t="s">
        <v>25</v>
      </c>
      <c r="B16" s="34" t="s">
        <v>25</v>
      </c>
    </row>
    <row r="17" spans="1:2" ht="15" thickBot="1" x14ac:dyDescent="0.4"/>
    <row r="18" spans="1:2" ht="15.75" customHeight="1" thickTop="1" x14ac:dyDescent="0.35">
      <c r="A18" s="99" t="s">
        <v>22</v>
      </c>
      <c r="B18" s="100"/>
    </row>
    <row r="19" spans="1:2" x14ac:dyDescent="0.35">
      <c r="A19" s="35" t="s">
        <v>23</v>
      </c>
      <c r="B19" s="34" t="s">
        <v>59</v>
      </c>
    </row>
    <row r="20" spans="1:2" x14ac:dyDescent="0.35">
      <c r="A20" s="35" t="s">
        <v>24</v>
      </c>
      <c r="B20" s="56" t="s">
        <v>56</v>
      </c>
    </row>
    <row r="21" spans="1:2" x14ac:dyDescent="0.35">
      <c r="A21" s="35" t="s">
        <v>54</v>
      </c>
      <c r="B21" s="56" t="s">
        <v>55</v>
      </c>
    </row>
    <row r="22" spans="1:2" x14ac:dyDescent="0.35">
      <c r="A22" s="34" t="s">
        <v>25</v>
      </c>
      <c r="B22" s="34" t="s">
        <v>25</v>
      </c>
    </row>
    <row r="23" spans="1:2" x14ac:dyDescent="0.35">
      <c r="A23" s="34" t="s">
        <v>25</v>
      </c>
      <c r="B23" s="34" t="s">
        <v>25</v>
      </c>
    </row>
    <row r="24" spans="1:2" x14ac:dyDescent="0.35">
      <c r="A24" s="34" t="s">
        <v>25</v>
      </c>
      <c r="B24" s="34" t="s">
        <v>25</v>
      </c>
    </row>
    <row r="25" spans="1:2" x14ac:dyDescent="0.35">
      <c r="A25" s="34" t="s">
        <v>25</v>
      </c>
      <c r="B25" s="34" t="s">
        <v>25</v>
      </c>
    </row>
    <row r="26" spans="1:2" ht="15" thickBot="1" x14ac:dyDescent="0.4"/>
    <row r="27" spans="1:2" ht="15" thickTop="1" x14ac:dyDescent="0.35">
      <c r="A27" s="99" t="s">
        <v>28</v>
      </c>
      <c r="B27" s="100"/>
    </row>
    <row r="28" spans="1:2" x14ac:dyDescent="0.35">
      <c r="A28" s="34" t="s">
        <v>25</v>
      </c>
      <c r="B28" s="34" t="s">
        <v>25</v>
      </c>
    </row>
    <row r="29" spans="1:2" x14ac:dyDescent="0.35">
      <c r="A29" s="34" t="s">
        <v>25</v>
      </c>
      <c r="B29" s="34" t="s">
        <v>25</v>
      </c>
    </row>
    <row r="30" spans="1:2" x14ac:dyDescent="0.35">
      <c r="A30" s="34" t="s">
        <v>25</v>
      </c>
      <c r="B30" s="34" t="s">
        <v>25</v>
      </c>
    </row>
    <row r="31" spans="1:2" x14ac:dyDescent="0.35">
      <c r="A31" s="34" t="s">
        <v>25</v>
      </c>
      <c r="B31" s="34" t="s">
        <v>25</v>
      </c>
    </row>
    <row r="32" spans="1:2" x14ac:dyDescent="0.35">
      <c r="A32" s="34" t="s">
        <v>25</v>
      </c>
      <c r="B32" s="34" t="s">
        <v>25</v>
      </c>
    </row>
    <row r="33" spans="1:2" x14ac:dyDescent="0.35">
      <c r="A33" s="34" t="s">
        <v>25</v>
      </c>
      <c r="B33" s="34" t="s">
        <v>25</v>
      </c>
    </row>
    <row r="34" spans="1:2" x14ac:dyDescent="0.35">
      <c r="A34" s="34" t="s">
        <v>25</v>
      </c>
      <c r="B34" s="34" t="s">
        <v>25</v>
      </c>
    </row>
  </sheetData>
  <mergeCells count="3">
    <mergeCell ref="A18:B18"/>
    <mergeCell ref="A9:B9"/>
    <mergeCell ref="A27:B27"/>
  </mergeCells>
  <hyperlinks>
    <hyperlink ref="B21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4" sqref="G4:G16"/>
    </sheetView>
  </sheetViews>
  <sheetFormatPr baseColWidth="10" defaultColWidth="11.453125" defaultRowHeight="14.5" x14ac:dyDescent="0.35"/>
  <cols>
    <col min="1" max="1" width="27.7265625" style="2" customWidth="1"/>
    <col min="2" max="2" width="11" style="2" customWidth="1"/>
    <col min="3" max="3" width="12" style="2" customWidth="1"/>
    <col min="4" max="4" width="20.453125" style="2" customWidth="1"/>
    <col min="5" max="5" width="20.26953125" style="2" customWidth="1"/>
    <col min="6" max="6" width="22.453125" style="2" customWidth="1"/>
    <col min="7" max="7" width="16.453125" style="2" customWidth="1"/>
    <col min="8" max="8" width="17.7265625" style="2" customWidth="1"/>
    <col min="9" max="9" width="26.7265625" style="2" customWidth="1"/>
    <col min="10" max="10" width="18.54296875" style="2" customWidth="1"/>
    <col min="11" max="16384" width="11.453125" style="2"/>
  </cols>
  <sheetData>
    <row r="1" spans="1:10" ht="15.5" thickTop="1" thickBot="1" x14ac:dyDescent="0.4">
      <c r="A1" s="1" t="s">
        <v>8</v>
      </c>
      <c r="B1" s="28">
        <v>82.4</v>
      </c>
      <c r="C1" s="29"/>
    </row>
    <row r="2" spans="1:10" ht="15.5" thickTop="1" thickBot="1" x14ac:dyDescent="0.4"/>
    <row r="3" spans="1:10" ht="15.5" thickTop="1" thickBot="1" x14ac:dyDescent="0.4">
      <c r="A3" s="22" t="s">
        <v>2</v>
      </c>
      <c r="B3" s="22" t="s">
        <v>12</v>
      </c>
      <c r="C3" s="22" t="s">
        <v>0</v>
      </c>
      <c r="D3" s="22" t="s">
        <v>13</v>
      </c>
      <c r="E3" s="22" t="s">
        <v>9</v>
      </c>
      <c r="F3" s="22" t="s">
        <v>10</v>
      </c>
      <c r="G3" s="22" t="s">
        <v>1</v>
      </c>
      <c r="H3" s="22" t="s">
        <v>11</v>
      </c>
      <c r="I3" s="22" t="s">
        <v>15</v>
      </c>
      <c r="J3" s="22" t="s">
        <v>16</v>
      </c>
    </row>
    <row r="4" spans="1:10" ht="15.5" thickTop="1" thickBot="1" x14ac:dyDescent="0.4">
      <c r="A4" s="17" t="s">
        <v>40</v>
      </c>
      <c r="B4" s="13">
        <v>10</v>
      </c>
      <c r="C4" s="3">
        <v>144</v>
      </c>
      <c r="D4" s="3">
        <v>179</v>
      </c>
      <c r="E4" s="79">
        <f>147502.97/D4</f>
        <v>824.03893854748605</v>
      </c>
      <c r="F4" s="80">
        <v>3216.9782</v>
      </c>
      <c r="G4" s="106">
        <f>F4*100/(E4*C4*B1)</f>
        <v>3.2901119840040717E-2</v>
      </c>
      <c r="H4" s="80">
        <v>1.61172</v>
      </c>
      <c r="I4" s="79">
        <v>288.49680000000001</v>
      </c>
      <c r="J4" s="79">
        <v>4.5792999999999999</v>
      </c>
    </row>
    <row r="5" spans="1:10" ht="15" thickBot="1" x14ac:dyDescent="0.4">
      <c r="A5" s="18" t="s">
        <v>34</v>
      </c>
      <c r="B5" s="13">
        <v>99</v>
      </c>
      <c r="C5" s="3">
        <v>180</v>
      </c>
      <c r="D5" s="4">
        <v>3741</v>
      </c>
      <c r="E5" s="79">
        <f>3776206.9/D5</f>
        <v>1009.4110932905639</v>
      </c>
      <c r="F5" s="79">
        <v>3928.82</v>
      </c>
      <c r="G5" s="106">
        <f>F5*100/(E5*C5*B1)</f>
        <v>2.6241843545021442E-2</v>
      </c>
      <c r="H5" s="80">
        <v>1.8367199999999999</v>
      </c>
      <c r="I5" s="79">
        <v>6871.7879999999996</v>
      </c>
      <c r="J5" s="79">
        <v>10.2258</v>
      </c>
    </row>
    <row r="6" spans="1:10" ht="15" thickBot="1" x14ac:dyDescent="0.4">
      <c r="A6" s="19" t="s">
        <v>41</v>
      </c>
      <c r="B6" s="14">
        <v>11</v>
      </c>
      <c r="C6" s="5">
        <v>220</v>
      </c>
      <c r="D6" s="6">
        <v>314</v>
      </c>
      <c r="E6" s="68">
        <f>371698.359/D6</f>
        <v>1183.7527356687899</v>
      </c>
      <c r="F6" s="68">
        <v>5470.5649999999996</v>
      </c>
      <c r="G6" s="107">
        <f>F6*100/(E6*C6*B1)</f>
        <v>2.5493020452235639E-2</v>
      </c>
      <c r="H6" s="69">
        <v>2.0514000000000001</v>
      </c>
      <c r="I6" s="68">
        <v>644.14390000000003</v>
      </c>
      <c r="J6" s="68">
        <v>92.02</v>
      </c>
    </row>
    <row r="7" spans="1:10" ht="15" thickBot="1" x14ac:dyDescent="0.4">
      <c r="A7" s="19" t="s">
        <v>42</v>
      </c>
      <c r="B7" s="14">
        <v>1</v>
      </c>
      <c r="C7" s="5">
        <v>314</v>
      </c>
      <c r="D7" s="6">
        <v>3</v>
      </c>
      <c r="E7" s="68">
        <f>2665.0223/D7</f>
        <v>888.3407666666667</v>
      </c>
      <c r="F7" s="68">
        <v>8680.2579999999998</v>
      </c>
      <c r="G7" s="107">
        <f>F7*100/(E7*C7*B1)</f>
        <v>3.7765581943097329E-2</v>
      </c>
      <c r="H7" s="69">
        <v>1.66214</v>
      </c>
      <c r="I7" s="68">
        <v>4.9864800000000002</v>
      </c>
      <c r="J7" s="68">
        <v>0.71235000000000004</v>
      </c>
    </row>
    <row r="8" spans="1:10" ht="15" thickBot="1" x14ac:dyDescent="0.4">
      <c r="A8" s="20" t="s">
        <v>43</v>
      </c>
      <c r="B8" s="15">
        <v>1</v>
      </c>
      <c r="C8" s="7">
        <v>136</v>
      </c>
      <c r="D8" s="7">
        <v>4</v>
      </c>
      <c r="E8" s="70">
        <f>3987.28129/D8</f>
        <v>996.82032249999997</v>
      </c>
      <c r="F8" s="70">
        <v>3981.8519999999999</v>
      </c>
      <c r="G8" s="108">
        <f>F8*100/(E8*C8*B1)</f>
        <v>3.5645286546452326E-2</v>
      </c>
      <c r="H8" s="71">
        <v>1.87608</v>
      </c>
      <c r="I8" s="70">
        <v>7.5045000000000002</v>
      </c>
      <c r="J8" s="70">
        <v>1.0720700000000001</v>
      </c>
    </row>
    <row r="9" spans="1:10" ht="15" thickBot="1" x14ac:dyDescent="0.4">
      <c r="A9" s="20" t="s">
        <v>37</v>
      </c>
      <c r="B9" s="15">
        <v>1</v>
      </c>
      <c r="C9" s="7">
        <v>177</v>
      </c>
      <c r="D9" s="7">
        <v>23</v>
      </c>
      <c r="E9" s="70">
        <f>20186.9536/D9</f>
        <v>877.69363478260868</v>
      </c>
      <c r="F9" s="70">
        <v>5320.2579999999998</v>
      </c>
      <c r="G9" s="108">
        <f>F9*100/(E9*C9*B1)</f>
        <v>4.1561313700553992E-2</v>
      </c>
      <c r="H9" s="71">
        <v>1.67136</v>
      </c>
      <c r="I9" s="70">
        <v>38.440800000000003</v>
      </c>
      <c r="J9" s="70">
        <v>5.4913999999999996</v>
      </c>
    </row>
    <row r="10" spans="1:10" x14ac:dyDescent="0.35">
      <c r="A10" s="39" t="s">
        <v>44</v>
      </c>
      <c r="B10" s="40">
        <v>2</v>
      </c>
      <c r="C10" s="41">
        <v>209</v>
      </c>
      <c r="D10" s="41">
        <v>24</v>
      </c>
      <c r="E10" s="84">
        <f>23743.6136/D10</f>
        <v>989.31723333333332</v>
      </c>
      <c r="F10" s="72">
        <v>7510.6980000000003</v>
      </c>
      <c r="G10" s="109">
        <f>F10*100/(E10*C10*B1)</f>
        <v>4.4083008674009723E-2</v>
      </c>
      <c r="H10" s="73">
        <v>1.7954399999999999</v>
      </c>
      <c r="I10" s="72">
        <v>43.1</v>
      </c>
      <c r="J10" s="72">
        <v>3.07789</v>
      </c>
    </row>
    <row r="11" spans="1:10" ht="15" thickBot="1" x14ac:dyDescent="0.4">
      <c r="A11" s="46" t="s">
        <v>45</v>
      </c>
      <c r="B11" s="45">
        <v>1</v>
      </c>
      <c r="C11" s="44">
        <v>100</v>
      </c>
      <c r="D11" s="44">
        <v>6</v>
      </c>
      <c r="E11" s="85">
        <f>4097.00987/D11</f>
        <v>682.83497833333331</v>
      </c>
      <c r="F11" s="86">
        <v>328.57560000000001</v>
      </c>
      <c r="G11" s="110">
        <f>F11*100/(E11*C11*B1)</f>
        <v>5.8397242198955914E-3</v>
      </c>
      <c r="H11" s="86">
        <v>0.54815999999999998</v>
      </c>
      <c r="I11" s="86">
        <v>3.29</v>
      </c>
      <c r="J11" s="86">
        <v>0.46998800000000002</v>
      </c>
    </row>
    <row r="12" spans="1:10" ht="38.25" customHeight="1" thickTop="1" thickBot="1" x14ac:dyDescent="0.4">
      <c r="A12" s="42" t="s">
        <v>3</v>
      </c>
      <c r="B12" s="42" t="s">
        <v>12</v>
      </c>
      <c r="C12" s="43" t="s">
        <v>19</v>
      </c>
      <c r="D12" s="43" t="s">
        <v>14</v>
      </c>
      <c r="E12" s="87" t="s">
        <v>9</v>
      </c>
      <c r="F12" s="81" t="s">
        <v>10</v>
      </c>
      <c r="G12" s="111" t="s">
        <v>1</v>
      </c>
      <c r="H12" s="81" t="s">
        <v>11</v>
      </c>
      <c r="I12" s="82" t="s">
        <v>17</v>
      </c>
      <c r="J12" s="81" t="s">
        <v>18</v>
      </c>
    </row>
    <row r="13" spans="1:10" ht="15.5" thickTop="1" thickBot="1" x14ac:dyDescent="0.4">
      <c r="A13" s="26" t="s">
        <v>4</v>
      </c>
      <c r="B13" s="25">
        <v>2</v>
      </c>
      <c r="C13" s="23">
        <v>209</v>
      </c>
      <c r="D13" s="23">
        <v>24</v>
      </c>
      <c r="E13" s="66">
        <f>E10</f>
        <v>989.31723333333332</v>
      </c>
      <c r="F13" s="67">
        <v>7510.6980000000003</v>
      </c>
      <c r="G13" s="112">
        <v>4.3999999999999997E-2</v>
      </c>
      <c r="H13" s="67">
        <v>1.7954399999999999</v>
      </c>
      <c r="I13" s="66">
        <v>43.1</v>
      </c>
      <c r="J13" s="66">
        <v>3.07789</v>
      </c>
    </row>
    <row r="14" spans="1:10" ht="15" thickBot="1" x14ac:dyDescent="0.4">
      <c r="A14" s="19" t="s">
        <v>29</v>
      </c>
      <c r="B14" s="14">
        <f>SUM(B4:B9)</f>
        <v>123</v>
      </c>
      <c r="C14" s="5">
        <f>(B4*C4+B5*C5+B6*C6+B7*C7+C9+C8)/B14</f>
        <v>181.35772357723576</v>
      </c>
      <c r="D14" s="6">
        <f>SUM(D4:D9)</f>
        <v>4264</v>
      </c>
      <c r="E14" s="68">
        <f>(D4*E4+D5*E5+D6*E6+D7*E7+D8*E8+D9*E9)/D14</f>
        <v>1013.660292258443</v>
      </c>
      <c r="F14" s="68">
        <v>3958.5889999999999</v>
      </c>
      <c r="G14" s="107">
        <v>2.7E-2</v>
      </c>
      <c r="H14" s="69">
        <v>1.8424560000000001</v>
      </c>
      <c r="I14" s="68">
        <v>7854.4250000000002</v>
      </c>
      <c r="J14" s="68">
        <v>10.2941</v>
      </c>
    </row>
    <row r="15" spans="1:10" ht="15" thickBot="1" x14ac:dyDescent="0.4">
      <c r="A15" s="20" t="s">
        <v>31</v>
      </c>
      <c r="B15" s="15">
        <f>B11</f>
        <v>1</v>
      </c>
      <c r="C15" s="8">
        <f>C11</f>
        <v>100</v>
      </c>
      <c r="D15" s="7">
        <v>6</v>
      </c>
      <c r="E15" s="70">
        <f>E11</f>
        <v>682.83497833333331</v>
      </c>
      <c r="F15" s="70">
        <v>328.57560000000001</v>
      </c>
      <c r="G15" s="108">
        <v>5.7999999999999996E-3</v>
      </c>
      <c r="H15" s="71">
        <v>0.54815999999999998</v>
      </c>
      <c r="I15" s="70">
        <v>3.29</v>
      </c>
      <c r="J15" s="70">
        <v>0.46998800000000002</v>
      </c>
    </row>
    <row r="16" spans="1:10" ht="15" thickBot="1" x14ac:dyDescent="0.4">
      <c r="A16" s="21" t="s">
        <v>30</v>
      </c>
      <c r="B16" s="16"/>
      <c r="C16" s="11"/>
      <c r="D16" s="10"/>
      <c r="E16" s="72"/>
      <c r="F16" s="72"/>
      <c r="G16" s="109"/>
      <c r="H16" s="11"/>
      <c r="I16" s="10"/>
      <c r="J16" s="10"/>
    </row>
  </sheetData>
  <pageMargins left="0.7" right="0.7" top="0.75" bottom="0.75" header="0.3" footer="0.3"/>
  <pageSetup paperSize="0" orientation="portrait" r:id="rId1"/>
  <ignoredErrors>
    <ignoredError sqref="D14" formulaRange="1"/>
    <ignoredError sqref="C14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4" sqref="G4:G15"/>
    </sheetView>
  </sheetViews>
  <sheetFormatPr baseColWidth="10" defaultColWidth="11.453125" defaultRowHeight="14.5" x14ac:dyDescent="0.35"/>
  <cols>
    <col min="1" max="1" width="27.7265625" style="2" customWidth="1"/>
    <col min="2" max="2" width="11" style="2" customWidth="1"/>
    <col min="3" max="3" width="12" style="2" customWidth="1"/>
    <col min="4" max="4" width="20.453125" style="2" customWidth="1"/>
    <col min="5" max="5" width="20.26953125" style="2" customWidth="1"/>
    <col min="6" max="6" width="22.453125" style="2" customWidth="1"/>
    <col min="7" max="7" width="16.453125" style="2" customWidth="1"/>
    <col min="8" max="8" width="17.7265625" style="2" customWidth="1"/>
    <col min="9" max="9" width="26.7265625" style="2" customWidth="1"/>
    <col min="10" max="10" width="18.54296875" style="2" customWidth="1"/>
    <col min="11" max="16384" width="11.453125" style="2"/>
  </cols>
  <sheetData>
    <row r="1" spans="1:10" ht="15.5" thickTop="1" thickBot="1" x14ac:dyDescent="0.4">
      <c r="A1" s="1" t="s">
        <v>8</v>
      </c>
      <c r="B1" s="28">
        <v>83.7</v>
      </c>
      <c r="C1" s="29"/>
    </row>
    <row r="2" spans="1:10" ht="15.5" thickTop="1" thickBot="1" x14ac:dyDescent="0.4"/>
    <row r="3" spans="1:10" ht="15.5" thickTop="1" thickBot="1" x14ac:dyDescent="0.4">
      <c r="A3" s="22" t="s">
        <v>2</v>
      </c>
      <c r="B3" s="22" t="s">
        <v>12</v>
      </c>
      <c r="C3" s="22" t="s">
        <v>0</v>
      </c>
      <c r="D3" s="22" t="s">
        <v>13</v>
      </c>
      <c r="E3" s="22" t="s">
        <v>9</v>
      </c>
      <c r="F3" s="22" t="s">
        <v>10</v>
      </c>
      <c r="G3" s="22" t="s">
        <v>1</v>
      </c>
      <c r="H3" s="22" t="s">
        <v>11</v>
      </c>
      <c r="I3" s="22" t="s">
        <v>15</v>
      </c>
      <c r="J3" s="22" t="s">
        <v>16</v>
      </c>
    </row>
    <row r="4" spans="1:10" ht="15.5" thickTop="1" thickBot="1" x14ac:dyDescent="0.4">
      <c r="A4" s="17" t="s">
        <v>40</v>
      </c>
      <c r="B4" s="13">
        <v>5</v>
      </c>
      <c r="C4" s="3">
        <v>144</v>
      </c>
      <c r="D4" s="3">
        <v>196</v>
      </c>
      <c r="E4" s="79">
        <f>166445.15/D4</f>
        <v>849.20994897959179</v>
      </c>
      <c r="F4" s="80">
        <v>3274.5859999999998</v>
      </c>
      <c r="G4" s="106">
        <f>F4*100/(E4*C4*B1)</f>
        <v>3.1992882951403748E-2</v>
      </c>
      <c r="H4" s="80">
        <v>1.64245</v>
      </c>
      <c r="I4" s="79">
        <v>321.92110000000002</v>
      </c>
      <c r="J4" s="79">
        <f>I4/(7*B4)</f>
        <v>9.1977457142857144</v>
      </c>
    </row>
    <row r="5" spans="1:10" ht="15" thickBot="1" x14ac:dyDescent="0.4">
      <c r="A5" s="18" t="s">
        <v>34</v>
      </c>
      <c r="B5" s="13">
        <v>93</v>
      </c>
      <c r="C5" s="3">
        <v>180</v>
      </c>
      <c r="D5" s="4">
        <v>3434</v>
      </c>
      <c r="E5" s="79">
        <f>3328983.49/D5</f>
        <v>969.41860512521851</v>
      </c>
      <c r="F5" s="79">
        <v>5819.2539999999999</v>
      </c>
      <c r="G5" s="106">
        <f>F5*100/(E5*C5*B1)</f>
        <v>3.9843547592963671E-2</v>
      </c>
      <c r="H5" s="80">
        <v>1.78874</v>
      </c>
      <c r="I5" s="79">
        <v>6142.5360000000001</v>
      </c>
      <c r="J5" s="79">
        <f>I5/(7*B5)</f>
        <v>9.435539170506912</v>
      </c>
    </row>
    <row r="6" spans="1:10" ht="15" thickBot="1" x14ac:dyDescent="0.4">
      <c r="A6" s="19" t="s">
        <v>41</v>
      </c>
      <c r="B6" s="14">
        <v>15</v>
      </c>
      <c r="C6" s="5">
        <v>220</v>
      </c>
      <c r="D6" s="6">
        <v>482</v>
      </c>
      <c r="E6" s="68">
        <f>548203.183/D6</f>
        <v>1137.3510020746887</v>
      </c>
      <c r="F6" s="68">
        <v>5316.5860000000002</v>
      </c>
      <c r="G6" s="107">
        <f>F6*100/(E6*C6*B1)</f>
        <v>2.5385761172529168E-2</v>
      </c>
      <c r="H6" s="69">
        <v>1.995768</v>
      </c>
      <c r="I6" s="68">
        <v>961.96</v>
      </c>
      <c r="J6" s="68">
        <f>I6/(7*B6)</f>
        <v>9.1615238095238105</v>
      </c>
    </row>
    <row r="7" spans="1:10" ht="15" thickBot="1" x14ac:dyDescent="0.4">
      <c r="A7" s="19" t="s">
        <v>37</v>
      </c>
      <c r="B7" s="14">
        <v>1</v>
      </c>
      <c r="C7" s="5">
        <v>177</v>
      </c>
      <c r="D7" s="6">
        <v>22</v>
      </c>
      <c r="E7" s="68">
        <f>23661.3276/D7</f>
        <v>1075.514890909091</v>
      </c>
      <c r="F7" s="68">
        <v>6113.85</v>
      </c>
      <c r="G7" s="107">
        <f>F7*100/(E7*C7*B1)</f>
        <v>3.8370691616067584E-2</v>
      </c>
      <c r="H7" s="69">
        <v>1.9115500000000001</v>
      </c>
      <c r="I7" s="68">
        <v>42.054200000000002</v>
      </c>
      <c r="J7" s="68">
        <f>I7/(7*B7)</f>
        <v>6.0077428571428575</v>
      </c>
    </row>
    <row r="8" spans="1:10" ht="15" thickBot="1" x14ac:dyDescent="0.4">
      <c r="A8" s="20"/>
      <c r="B8" s="15"/>
      <c r="C8" s="7"/>
      <c r="D8" s="7"/>
      <c r="E8" s="70"/>
      <c r="F8" s="70"/>
      <c r="G8" s="108"/>
      <c r="H8" s="71"/>
      <c r="I8" s="70"/>
      <c r="J8" s="70"/>
    </row>
    <row r="9" spans="1:10" ht="15" thickBot="1" x14ac:dyDescent="0.4">
      <c r="A9" s="20"/>
      <c r="B9" s="15"/>
      <c r="C9" s="7"/>
      <c r="D9" s="7"/>
      <c r="E9" s="70"/>
      <c r="F9" s="70"/>
      <c r="G9" s="108"/>
      <c r="H9" s="71"/>
      <c r="I9" s="70"/>
      <c r="J9" s="70"/>
    </row>
    <row r="10" spans="1:10" ht="15" thickBot="1" x14ac:dyDescent="0.4">
      <c r="A10" s="21"/>
      <c r="B10" s="16"/>
      <c r="C10" s="10"/>
      <c r="D10" s="10"/>
      <c r="E10" s="72"/>
      <c r="F10" s="72"/>
      <c r="G10" s="109"/>
      <c r="H10" s="73"/>
      <c r="I10" s="72"/>
      <c r="J10" s="72"/>
    </row>
    <row r="11" spans="1:10" ht="15" thickBot="1" x14ac:dyDescent="0.4">
      <c r="E11" s="74"/>
      <c r="F11" s="74"/>
      <c r="G11" s="110"/>
      <c r="H11" s="74"/>
      <c r="I11" s="74"/>
      <c r="J11" s="74"/>
    </row>
    <row r="12" spans="1:10" ht="38.25" customHeight="1" thickTop="1" thickBot="1" x14ac:dyDescent="0.4">
      <c r="A12" s="22" t="s">
        <v>3</v>
      </c>
      <c r="B12" s="22" t="s">
        <v>12</v>
      </c>
      <c r="C12" s="27" t="s">
        <v>19</v>
      </c>
      <c r="D12" s="27" t="s">
        <v>14</v>
      </c>
      <c r="E12" s="81" t="s">
        <v>9</v>
      </c>
      <c r="F12" s="81" t="s">
        <v>10</v>
      </c>
      <c r="G12" s="111" t="s">
        <v>1</v>
      </c>
      <c r="H12" s="81" t="s">
        <v>11</v>
      </c>
      <c r="I12" s="82" t="s">
        <v>17</v>
      </c>
      <c r="J12" s="81" t="s">
        <v>18</v>
      </c>
    </row>
    <row r="13" spans="1:10" ht="15.5" thickTop="1" thickBot="1" x14ac:dyDescent="0.4">
      <c r="A13" s="26" t="s">
        <v>4</v>
      </c>
      <c r="B13" s="25"/>
      <c r="C13" s="23"/>
      <c r="D13" s="23"/>
      <c r="E13" s="66"/>
      <c r="F13" s="67"/>
      <c r="G13" s="112"/>
      <c r="H13" s="67"/>
      <c r="I13" s="66"/>
      <c r="J13" s="66"/>
    </row>
    <row r="14" spans="1:10" ht="15" thickBot="1" x14ac:dyDescent="0.4">
      <c r="A14" s="19" t="s">
        <v>29</v>
      </c>
      <c r="B14" s="14">
        <f>SUM(B4:B7)</f>
        <v>114</v>
      </c>
      <c r="C14" s="5">
        <f>(B4*C4+B5*C5+B6*C6+B7*C7)/B14</f>
        <v>183.65789473684211</v>
      </c>
      <c r="D14" s="6">
        <f>SUM(D4:D7)</f>
        <v>4134</v>
      </c>
      <c r="E14" s="68">
        <f>(D4*E4+D5*E5+D6*E6+D7*E7)/D14</f>
        <v>983.86384871794871</v>
      </c>
      <c r="F14" s="68">
        <v>5804.2856000000002</v>
      </c>
      <c r="G14" s="107">
        <v>3.7999999999999999E-2</v>
      </c>
      <c r="H14" s="69">
        <v>1.8102579999999999</v>
      </c>
      <c r="I14" s="68">
        <v>7684.58</v>
      </c>
      <c r="J14" s="68">
        <v>9.3255999999999997</v>
      </c>
    </row>
    <row r="15" spans="1:10" ht="15" thickBot="1" x14ac:dyDescent="0.4">
      <c r="A15" s="20" t="s">
        <v>31</v>
      </c>
      <c r="B15" s="15"/>
      <c r="C15" s="8"/>
      <c r="D15" s="7"/>
      <c r="E15" s="7"/>
      <c r="F15" s="7"/>
      <c r="G15" s="108"/>
      <c r="H15" s="8"/>
      <c r="I15" s="7"/>
      <c r="J15" s="7"/>
    </row>
    <row r="16" spans="1:10" ht="15" thickBot="1" x14ac:dyDescent="0.4">
      <c r="A16" s="21" t="s">
        <v>30</v>
      </c>
      <c r="B16" s="16"/>
      <c r="C16" s="11"/>
      <c r="D16" s="10"/>
      <c r="E16" s="10"/>
      <c r="F16" s="10"/>
      <c r="G16" s="12"/>
      <c r="H16" s="11"/>
      <c r="I16" s="10"/>
      <c r="J16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4" sqref="G4:G14"/>
    </sheetView>
  </sheetViews>
  <sheetFormatPr baseColWidth="10" defaultColWidth="11.453125" defaultRowHeight="14.5" x14ac:dyDescent="0.35"/>
  <cols>
    <col min="1" max="1" width="27.7265625" style="2" customWidth="1"/>
    <col min="2" max="2" width="11" style="2" customWidth="1"/>
    <col min="3" max="3" width="12" style="2" customWidth="1"/>
    <col min="4" max="4" width="20.453125" style="2" customWidth="1"/>
    <col min="5" max="5" width="20.26953125" style="2" customWidth="1"/>
    <col min="6" max="6" width="22.453125" style="2" customWidth="1"/>
    <col min="7" max="7" width="16.453125" style="2" customWidth="1"/>
    <col min="8" max="8" width="17.7265625" style="2" customWidth="1"/>
    <col min="9" max="9" width="26.7265625" style="2" customWidth="1"/>
    <col min="10" max="10" width="18.54296875" style="2" customWidth="1"/>
    <col min="11" max="16384" width="11.453125" style="2"/>
  </cols>
  <sheetData>
    <row r="1" spans="1:10" ht="15.5" thickTop="1" thickBot="1" x14ac:dyDescent="0.4">
      <c r="A1" s="1" t="s">
        <v>8</v>
      </c>
      <c r="B1" s="28">
        <v>87.2</v>
      </c>
      <c r="C1" s="29"/>
    </row>
    <row r="2" spans="1:10" ht="15.5" thickTop="1" thickBot="1" x14ac:dyDescent="0.4"/>
    <row r="3" spans="1:10" ht="15.5" thickTop="1" thickBot="1" x14ac:dyDescent="0.4">
      <c r="A3" s="22" t="s">
        <v>2</v>
      </c>
      <c r="B3" s="22" t="s">
        <v>12</v>
      </c>
      <c r="C3" s="22" t="s">
        <v>0</v>
      </c>
      <c r="D3" s="22" t="s">
        <v>13</v>
      </c>
      <c r="E3" s="22" t="s">
        <v>9</v>
      </c>
      <c r="F3" s="22" t="s">
        <v>10</v>
      </c>
      <c r="G3" s="22" t="s">
        <v>1</v>
      </c>
      <c r="H3" s="22" t="s">
        <v>11</v>
      </c>
      <c r="I3" s="22" t="s">
        <v>15</v>
      </c>
      <c r="J3" s="22" t="s">
        <v>16</v>
      </c>
    </row>
    <row r="4" spans="1:10" ht="15.5" thickTop="1" thickBot="1" x14ac:dyDescent="0.4">
      <c r="A4" s="17" t="s">
        <v>40</v>
      </c>
      <c r="B4" s="13">
        <v>5</v>
      </c>
      <c r="C4" s="3">
        <v>144</v>
      </c>
      <c r="D4" s="3">
        <v>188</v>
      </c>
      <c r="E4" s="79">
        <f>168789.4574/D4</f>
        <v>897.8162627659575</v>
      </c>
      <c r="F4" s="80">
        <v>3394.6875</v>
      </c>
      <c r="G4" s="106">
        <f>F4*100/(E4*C4*B1)</f>
        <v>3.0111566977556407E-2</v>
      </c>
      <c r="H4" s="80">
        <v>1.700874</v>
      </c>
      <c r="I4" s="79">
        <v>319.76440000000002</v>
      </c>
      <c r="J4" s="79">
        <v>11.42</v>
      </c>
    </row>
    <row r="5" spans="1:10" ht="15" thickBot="1" x14ac:dyDescent="0.4">
      <c r="A5" s="18" t="s">
        <v>34</v>
      </c>
      <c r="B5" s="13">
        <v>95</v>
      </c>
      <c r="C5" s="3">
        <v>180</v>
      </c>
      <c r="D5" s="4">
        <v>3414</v>
      </c>
      <c r="E5" s="79">
        <f>3295337.154/D5</f>
        <v>965.24228295254841</v>
      </c>
      <c r="F5" s="79">
        <v>3805.5693999999999</v>
      </c>
      <c r="G5" s="106">
        <f>F5*100/(E5*C5*B1)</f>
        <v>2.5118535687995894E-2</v>
      </c>
      <c r="H5" s="80">
        <v>1.7838453000000001</v>
      </c>
      <c r="I5" s="79">
        <v>6090.05</v>
      </c>
      <c r="J5" s="79">
        <v>9.4565000000000001</v>
      </c>
    </row>
    <row r="6" spans="1:10" ht="15" thickBot="1" x14ac:dyDescent="0.4">
      <c r="A6" s="19" t="s">
        <v>41</v>
      </c>
      <c r="B6" s="14">
        <v>15</v>
      </c>
      <c r="C6" s="5">
        <v>220</v>
      </c>
      <c r="D6" s="6">
        <v>509</v>
      </c>
      <c r="E6" s="68">
        <f>557733.4966/D6</f>
        <v>1095.7436082514735</v>
      </c>
      <c r="F6" s="68">
        <v>5177.37</v>
      </c>
      <c r="G6" s="107">
        <f>F6*100/(E6*C6*B1)</f>
        <v>2.462981167525331E-2</v>
      </c>
      <c r="H6" s="69">
        <v>1.94556</v>
      </c>
      <c r="I6" s="68">
        <v>990.29927999999995</v>
      </c>
      <c r="J6" s="68">
        <v>9.4314199999999992</v>
      </c>
    </row>
    <row r="7" spans="1:10" ht="15" thickBot="1" x14ac:dyDescent="0.4">
      <c r="A7" s="19" t="s">
        <v>37</v>
      </c>
      <c r="B7" s="14">
        <v>1</v>
      </c>
      <c r="C7" s="5">
        <v>177</v>
      </c>
      <c r="D7" s="6">
        <v>8</v>
      </c>
      <c r="E7" s="68">
        <f>12620.58057/D7</f>
        <v>1577.57257125</v>
      </c>
      <c r="F7" s="68">
        <v>8119.951</v>
      </c>
      <c r="G7" s="107">
        <f>F7*100/(E7*C7*B1)</f>
        <v>3.3348346896659935E-2</v>
      </c>
      <c r="H7" s="69">
        <v>2.5036079999999998</v>
      </c>
      <c r="I7" s="68">
        <v>20.0288</v>
      </c>
      <c r="J7" s="68">
        <v>2.8612600000000001</v>
      </c>
    </row>
    <row r="8" spans="1:10" ht="15" thickBot="1" x14ac:dyDescent="0.4">
      <c r="A8" s="20" t="s">
        <v>44</v>
      </c>
      <c r="B8" s="15">
        <v>1</v>
      </c>
      <c r="C8" s="7">
        <v>209</v>
      </c>
      <c r="D8" s="7">
        <v>2</v>
      </c>
      <c r="E8" s="70">
        <v>1368.8296720000001</v>
      </c>
      <c r="F8" s="70">
        <v>9463.9458814999998</v>
      </c>
      <c r="G8" s="108">
        <f>F9*100/(E8*C8*B1)</f>
        <v>0</v>
      </c>
      <c r="H8" s="71">
        <v>2.2422200000000001</v>
      </c>
      <c r="I8" s="70">
        <v>4.0484439999999999</v>
      </c>
      <c r="J8" s="70">
        <v>0.64059999999999995</v>
      </c>
    </row>
    <row r="9" spans="1:10" ht="15" thickBot="1" x14ac:dyDescent="0.4">
      <c r="A9" s="20"/>
      <c r="B9" s="15"/>
      <c r="C9" s="7"/>
      <c r="D9" s="7"/>
      <c r="E9" s="70"/>
      <c r="F9" s="70"/>
      <c r="G9" s="108"/>
      <c r="H9" s="71"/>
      <c r="I9" s="70"/>
      <c r="J9" s="70"/>
    </row>
    <row r="10" spans="1:10" ht="15" thickBot="1" x14ac:dyDescent="0.4">
      <c r="A10" s="21"/>
      <c r="B10" s="16"/>
      <c r="C10" s="10"/>
      <c r="D10" s="10"/>
      <c r="E10" s="72"/>
      <c r="F10" s="72"/>
      <c r="G10" s="109"/>
      <c r="H10" s="73"/>
      <c r="I10" s="72"/>
      <c r="J10" s="72"/>
    </row>
    <row r="11" spans="1:10" ht="15" thickBot="1" x14ac:dyDescent="0.4">
      <c r="E11" s="74"/>
      <c r="F11" s="74"/>
      <c r="G11" s="110"/>
      <c r="H11" s="74"/>
      <c r="I11" s="74"/>
      <c r="J11" s="74"/>
    </row>
    <row r="12" spans="1:10" ht="38.25" customHeight="1" thickTop="1" thickBot="1" x14ac:dyDescent="0.4">
      <c r="A12" s="22" t="s">
        <v>3</v>
      </c>
      <c r="B12" s="22" t="s">
        <v>12</v>
      </c>
      <c r="C12" s="27" t="s">
        <v>19</v>
      </c>
      <c r="D12" s="27" t="s">
        <v>14</v>
      </c>
      <c r="E12" s="81" t="s">
        <v>9</v>
      </c>
      <c r="F12" s="81" t="s">
        <v>10</v>
      </c>
      <c r="G12" s="111" t="s">
        <v>1</v>
      </c>
      <c r="H12" s="81" t="s">
        <v>11</v>
      </c>
      <c r="I12" s="82" t="s">
        <v>17</v>
      </c>
      <c r="J12" s="81" t="s">
        <v>18</v>
      </c>
    </row>
    <row r="13" spans="1:10" ht="15.5" thickTop="1" thickBot="1" x14ac:dyDescent="0.4">
      <c r="A13" s="26" t="s">
        <v>4</v>
      </c>
      <c r="B13" s="25">
        <f>B8</f>
        <v>1</v>
      </c>
      <c r="C13" s="23">
        <v>209</v>
      </c>
      <c r="D13" s="23">
        <v>2</v>
      </c>
      <c r="E13" s="66">
        <f>E8</f>
        <v>1368.8296720000001</v>
      </c>
      <c r="F13" s="67">
        <v>9463.945882</v>
      </c>
      <c r="G13" s="112">
        <v>2.5000000000000001E-2</v>
      </c>
      <c r="H13" s="67">
        <v>2.2422200000000001</v>
      </c>
      <c r="I13" s="66">
        <v>4.0484439999999999</v>
      </c>
      <c r="J13" s="66">
        <v>0.64059999999999995</v>
      </c>
    </row>
    <row r="14" spans="1:10" ht="15" thickBot="1" x14ac:dyDescent="0.4">
      <c r="A14" s="19" t="s">
        <v>29</v>
      </c>
      <c r="B14" s="14">
        <f>SUM(B4:B7)</f>
        <v>116</v>
      </c>
      <c r="C14" s="5">
        <f>(B4*C4+B5*C5+B6*C6+B7*C7)/B14</f>
        <v>183.59482758620689</v>
      </c>
      <c r="D14" s="6">
        <f>SUM(D4:D7)</f>
        <v>4119</v>
      </c>
      <c r="E14" s="68">
        <f>(D4*E4+D5*E5+D6*E6+D7*E7)/D14</f>
        <v>979.4806235906774</v>
      </c>
      <c r="F14" s="68">
        <v>3985.2547800000002</v>
      </c>
      <c r="G14" s="107">
        <v>3.7999999999999999E-2</v>
      </c>
      <c r="H14" s="69">
        <v>1.8258799999999999</v>
      </c>
      <c r="I14" s="68">
        <v>7420.1559999999999</v>
      </c>
      <c r="J14" s="68">
        <v>9.4685199999999998</v>
      </c>
    </row>
    <row r="15" spans="1:10" ht="15" thickBot="1" x14ac:dyDescent="0.4">
      <c r="A15" s="20" t="s">
        <v>31</v>
      </c>
      <c r="B15" s="15"/>
      <c r="C15" s="8"/>
      <c r="D15" s="7"/>
      <c r="E15" s="7"/>
      <c r="F15" s="7"/>
      <c r="G15" s="9"/>
      <c r="H15" s="8"/>
      <c r="I15" s="7"/>
      <c r="J15" s="7"/>
    </row>
    <row r="16" spans="1:10" ht="15" thickBot="1" x14ac:dyDescent="0.4">
      <c r="A16" s="21" t="s">
        <v>30</v>
      </c>
      <c r="B16" s="16"/>
      <c r="C16" s="11"/>
      <c r="D16" s="10"/>
      <c r="E16" s="10"/>
      <c r="F16" s="10"/>
      <c r="G16" s="12"/>
      <c r="H16" s="11"/>
      <c r="I16" s="10"/>
      <c r="J16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1" sqref="B1:L1"/>
    </sheetView>
  </sheetViews>
  <sheetFormatPr baseColWidth="10" defaultRowHeight="14.5" x14ac:dyDescent="0.35"/>
  <cols>
    <col min="1" max="1" width="22.54296875" customWidth="1"/>
  </cols>
  <sheetData>
    <row r="1" spans="1:12" s="2" customFormat="1" ht="15" thickBot="1" x14ac:dyDescent="0.4"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2" s="2" customFormat="1" ht="15.5" thickTop="1" thickBot="1" x14ac:dyDescent="0.4">
      <c r="A2" s="22" t="s">
        <v>3</v>
      </c>
      <c r="B2" s="22">
        <v>2008</v>
      </c>
      <c r="C2" s="22">
        <v>2009</v>
      </c>
      <c r="D2" s="22">
        <v>2010</v>
      </c>
      <c r="E2" s="22">
        <v>2011</v>
      </c>
      <c r="F2" s="22">
        <v>2012</v>
      </c>
      <c r="G2" s="22">
        <v>2013</v>
      </c>
      <c r="H2" s="22">
        <v>2014</v>
      </c>
      <c r="I2" s="22">
        <v>2015</v>
      </c>
      <c r="J2" s="22">
        <v>2016</v>
      </c>
      <c r="K2" s="22">
        <v>2017</v>
      </c>
      <c r="L2" s="22">
        <v>2018</v>
      </c>
    </row>
    <row r="3" spans="1:12" s="2" customFormat="1" ht="15.5" thickTop="1" thickBot="1" x14ac:dyDescent="0.4">
      <c r="A3" s="26" t="s">
        <v>4</v>
      </c>
      <c r="B3" s="24">
        <v>0</v>
      </c>
      <c r="C3" s="23">
        <v>0</v>
      </c>
      <c r="D3" s="52">
        <v>0</v>
      </c>
      <c r="E3" s="23">
        <v>0</v>
      </c>
      <c r="F3" s="24">
        <v>0</v>
      </c>
      <c r="G3" s="24">
        <v>0</v>
      </c>
      <c r="H3" s="24">
        <v>0</v>
      </c>
      <c r="I3" s="24">
        <v>0</v>
      </c>
      <c r="J3" s="24">
        <v>2</v>
      </c>
      <c r="K3" s="24">
        <v>0</v>
      </c>
      <c r="L3" s="24">
        <v>1</v>
      </c>
    </row>
    <row r="4" spans="1:12" s="2" customFormat="1" ht="15" thickBot="1" x14ac:dyDescent="0.4">
      <c r="A4" s="19" t="s">
        <v>5</v>
      </c>
      <c r="B4" s="6">
        <v>23</v>
      </c>
      <c r="C4" s="6">
        <v>33</v>
      </c>
      <c r="D4" s="51">
        <v>38</v>
      </c>
      <c r="E4" s="5">
        <v>47</v>
      </c>
      <c r="F4" s="6">
        <v>55</v>
      </c>
      <c r="G4" s="6">
        <v>63</v>
      </c>
      <c r="H4" s="6">
        <v>90</v>
      </c>
      <c r="I4" s="6">
        <v>109</v>
      </c>
      <c r="J4" s="6">
        <v>123</v>
      </c>
      <c r="K4" s="6">
        <v>114</v>
      </c>
      <c r="L4" s="6">
        <v>116</v>
      </c>
    </row>
    <row r="5" spans="1:12" s="2" customFormat="1" ht="15" thickBot="1" x14ac:dyDescent="0.4">
      <c r="A5" s="20" t="s">
        <v>6</v>
      </c>
      <c r="B5" s="7">
        <v>0</v>
      </c>
      <c r="C5" s="7">
        <v>0</v>
      </c>
      <c r="D5" s="53">
        <v>0</v>
      </c>
      <c r="E5" s="8">
        <v>0</v>
      </c>
      <c r="F5" s="7">
        <v>0</v>
      </c>
      <c r="G5" s="7">
        <v>0</v>
      </c>
      <c r="H5" s="7">
        <v>0</v>
      </c>
      <c r="I5" s="7">
        <v>0</v>
      </c>
      <c r="J5" s="7">
        <v>1</v>
      </c>
      <c r="K5" s="7">
        <v>0</v>
      </c>
      <c r="L5" s="7">
        <v>0</v>
      </c>
    </row>
    <row r="6" spans="1:12" s="2" customFormat="1" ht="15" thickBot="1" x14ac:dyDescent="0.4">
      <c r="A6" s="21" t="s">
        <v>7</v>
      </c>
      <c r="B6" s="10">
        <v>0</v>
      </c>
      <c r="C6" s="10">
        <v>0</v>
      </c>
      <c r="D6" s="54">
        <v>0</v>
      </c>
      <c r="E6" s="11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 s="2" customFormat="1" x14ac:dyDescent="0.35">
      <c r="A7"/>
      <c r="D7" s="55"/>
    </row>
    <row r="8" spans="1:12" x14ac:dyDescent="0.35">
      <c r="A8" s="48"/>
      <c r="B8" s="101" t="s">
        <v>46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12" x14ac:dyDescent="0.35">
      <c r="A9" s="47" t="s">
        <v>2</v>
      </c>
      <c r="B9" s="47">
        <v>2008</v>
      </c>
      <c r="C9" s="47">
        <v>2009</v>
      </c>
      <c r="D9" s="47">
        <v>2010</v>
      </c>
      <c r="E9" s="47">
        <v>2011</v>
      </c>
      <c r="F9" s="47">
        <v>2012</v>
      </c>
      <c r="G9" s="47">
        <v>2013</v>
      </c>
      <c r="H9" s="47">
        <v>2014</v>
      </c>
      <c r="I9" s="47">
        <v>2015</v>
      </c>
      <c r="J9" s="47">
        <v>2016</v>
      </c>
      <c r="K9" s="47">
        <v>2017</v>
      </c>
      <c r="L9" s="47">
        <v>2018</v>
      </c>
    </row>
    <row r="10" spans="1:12" x14ac:dyDescent="0.35">
      <c r="A10" s="50" t="s">
        <v>40</v>
      </c>
      <c r="B10" s="50">
        <v>0</v>
      </c>
      <c r="C10" s="50">
        <v>0</v>
      </c>
      <c r="D10" s="50">
        <v>0</v>
      </c>
      <c r="E10" s="50">
        <v>1</v>
      </c>
      <c r="F10" s="50">
        <v>3</v>
      </c>
      <c r="G10" s="50">
        <v>4</v>
      </c>
      <c r="H10" s="50">
        <v>5</v>
      </c>
      <c r="I10" s="50">
        <v>8</v>
      </c>
      <c r="J10" s="50">
        <v>10</v>
      </c>
      <c r="K10" s="50">
        <v>5</v>
      </c>
      <c r="L10" s="50">
        <v>5</v>
      </c>
    </row>
    <row r="11" spans="1:12" x14ac:dyDescent="0.35">
      <c r="A11" s="50" t="s">
        <v>34</v>
      </c>
      <c r="B11" s="50">
        <v>23</v>
      </c>
      <c r="C11" s="50">
        <v>30</v>
      </c>
      <c r="D11" s="50">
        <v>28</v>
      </c>
      <c r="E11" s="50">
        <v>39</v>
      </c>
      <c r="F11" s="50">
        <v>51</v>
      </c>
      <c r="G11" s="50">
        <v>59</v>
      </c>
      <c r="H11" s="50">
        <v>84</v>
      </c>
      <c r="I11" s="50">
        <v>95</v>
      </c>
      <c r="J11" s="50">
        <v>99</v>
      </c>
      <c r="K11" s="50">
        <v>93</v>
      </c>
      <c r="L11" s="50">
        <v>95</v>
      </c>
    </row>
    <row r="12" spans="1:12" x14ac:dyDescent="0.35">
      <c r="A12" s="50" t="s">
        <v>41</v>
      </c>
      <c r="B12" s="50">
        <v>0</v>
      </c>
      <c r="C12" s="50">
        <v>0</v>
      </c>
      <c r="D12" s="50">
        <v>0</v>
      </c>
      <c r="E12" s="50">
        <v>0</v>
      </c>
      <c r="F12" s="50">
        <v>0</v>
      </c>
      <c r="G12" s="50">
        <v>0</v>
      </c>
      <c r="H12" s="50">
        <f>'2011'!$B6</f>
        <v>0</v>
      </c>
      <c r="I12" s="50">
        <v>5</v>
      </c>
      <c r="J12" s="50">
        <v>11</v>
      </c>
      <c r="K12" s="50">
        <v>15</v>
      </c>
      <c r="L12" s="50">
        <v>15</v>
      </c>
    </row>
    <row r="13" spans="1:12" x14ac:dyDescent="0.35">
      <c r="A13" s="50" t="s">
        <v>42</v>
      </c>
      <c r="B13" s="50">
        <v>0</v>
      </c>
      <c r="C13" s="50">
        <v>0</v>
      </c>
      <c r="D13" s="50">
        <v>0</v>
      </c>
      <c r="E13" s="50">
        <f>'2008'!$B7</f>
        <v>0</v>
      </c>
      <c r="F13" s="50">
        <v>0</v>
      </c>
      <c r="G13" s="50">
        <v>0</v>
      </c>
      <c r="H13" s="50">
        <f>'2011'!$B7</f>
        <v>0</v>
      </c>
      <c r="I13" s="50">
        <f>'2012'!$B7</f>
        <v>0</v>
      </c>
      <c r="J13" s="50">
        <v>1</v>
      </c>
      <c r="K13" s="50">
        <v>0</v>
      </c>
      <c r="L13" s="50">
        <v>0</v>
      </c>
    </row>
    <row r="14" spans="1:12" x14ac:dyDescent="0.35">
      <c r="A14" s="49" t="s">
        <v>36</v>
      </c>
      <c r="B14" s="50">
        <v>0</v>
      </c>
      <c r="C14" s="50">
        <v>1</v>
      </c>
      <c r="D14" s="50">
        <v>0</v>
      </c>
      <c r="E14" s="50">
        <f>'2008'!$B8</f>
        <v>0</v>
      </c>
      <c r="F14" s="50">
        <f>'2009'!$B8</f>
        <v>0</v>
      </c>
      <c r="G14" s="50">
        <f>'2010'!$B8</f>
        <v>0</v>
      </c>
      <c r="H14" s="50">
        <f>'2011'!$B8</f>
        <v>0</v>
      </c>
      <c r="I14" s="50">
        <f>'2012'!$B8</f>
        <v>0</v>
      </c>
      <c r="J14" s="50">
        <f>'2013'!$B8</f>
        <v>0</v>
      </c>
      <c r="K14" s="50">
        <f>'2014'!$B8</f>
        <v>0</v>
      </c>
      <c r="L14" s="50">
        <v>0</v>
      </c>
    </row>
    <row r="15" spans="1:12" x14ac:dyDescent="0.35">
      <c r="A15" s="50" t="s">
        <v>43</v>
      </c>
      <c r="B15" s="50">
        <v>0</v>
      </c>
      <c r="C15" s="50">
        <f>'2017'!$B9</f>
        <v>0</v>
      </c>
      <c r="D15" s="50">
        <f>'2018'!$B9</f>
        <v>0</v>
      </c>
      <c r="E15" s="50">
        <f>'2008'!$B9</f>
        <v>0</v>
      </c>
      <c r="F15" s="50">
        <f>'2009'!$B9</f>
        <v>0</v>
      </c>
      <c r="G15" s="50">
        <f>'2010'!$B9</f>
        <v>0</v>
      </c>
      <c r="H15" s="50">
        <f>'2011'!$B9</f>
        <v>0</v>
      </c>
      <c r="I15" s="50">
        <f>'2012'!$B9</f>
        <v>0</v>
      </c>
      <c r="J15" s="50">
        <v>1</v>
      </c>
      <c r="K15" s="50">
        <f>'2014'!$B9</f>
        <v>0</v>
      </c>
      <c r="L15" s="50">
        <f>'2015'!$B9</f>
        <v>0</v>
      </c>
    </row>
    <row r="16" spans="1:12" x14ac:dyDescent="0.35">
      <c r="A16" s="49" t="s">
        <v>35</v>
      </c>
      <c r="B16" s="50">
        <v>0</v>
      </c>
      <c r="C16" s="50">
        <v>1</v>
      </c>
      <c r="D16" s="50">
        <v>1</v>
      </c>
      <c r="E16" s="50">
        <f>'2008'!$B10</f>
        <v>0</v>
      </c>
      <c r="F16" s="50">
        <f>'2009'!$B10</f>
        <v>0</v>
      </c>
      <c r="G16" s="50">
        <f>'2010'!$B10</f>
        <v>0</v>
      </c>
      <c r="H16" s="50">
        <f>'2011'!$B10</f>
        <v>0</v>
      </c>
      <c r="I16" s="50">
        <v>1</v>
      </c>
      <c r="J16" s="50">
        <f>'2013'!$B10</f>
        <v>0</v>
      </c>
      <c r="K16" s="50">
        <f>'2014'!$B10</f>
        <v>0</v>
      </c>
      <c r="L16" s="50">
        <f>'2015'!$B10</f>
        <v>0</v>
      </c>
    </row>
    <row r="17" spans="1:12" x14ac:dyDescent="0.35">
      <c r="A17" s="49" t="s">
        <v>39</v>
      </c>
      <c r="B17" s="49">
        <v>0</v>
      </c>
      <c r="C17" s="49">
        <v>0</v>
      </c>
      <c r="D17" s="49">
        <v>1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</row>
    <row r="18" spans="1:12" x14ac:dyDescent="0.35">
      <c r="A18" s="50" t="s">
        <v>37</v>
      </c>
      <c r="B18" s="49">
        <v>0</v>
      </c>
      <c r="C18" s="49">
        <v>1</v>
      </c>
      <c r="D18" s="49">
        <v>0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1</v>
      </c>
      <c r="K18" s="49">
        <v>1</v>
      </c>
      <c r="L18" s="49">
        <v>1</v>
      </c>
    </row>
    <row r="19" spans="1:12" x14ac:dyDescent="0.35">
      <c r="A19" s="50" t="s">
        <v>44</v>
      </c>
      <c r="B19" s="49">
        <v>0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2</v>
      </c>
      <c r="K19" s="49">
        <v>0</v>
      </c>
      <c r="L19" s="49">
        <v>1</v>
      </c>
    </row>
    <row r="20" spans="1:12" x14ac:dyDescent="0.35">
      <c r="A20" s="49" t="s">
        <v>45</v>
      </c>
      <c r="B20" s="49">
        <v>0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9">
        <v>0</v>
      </c>
      <c r="I20" s="49">
        <v>0</v>
      </c>
      <c r="J20" s="49">
        <v>1</v>
      </c>
      <c r="K20" s="49">
        <v>0</v>
      </c>
      <c r="L20" s="49">
        <v>0</v>
      </c>
    </row>
    <row r="21" spans="1:12" x14ac:dyDescent="0.35">
      <c r="A21" s="49" t="s">
        <v>38</v>
      </c>
      <c r="B21" s="49">
        <v>0</v>
      </c>
      <c r="C21" s="49">
        <v>0</v>
      </c>
      <c r="D21" s="49">
        <v>1</v>
      </c>
      <c r="E21" s="49">
        <v>0</v>
      </c>
      <c r="F21" s="49">
        <v>1</v>
      </c>
      <c r="G21" s="49">
        <v>0</v>
      </c>
      <c r="H21" s="49">
        <v>1</v>
      </c>
      <c r="I21" s="49">
        <v>0</v>
      </c>
      <c r="J21" s="49">
        <v>0</v>
      </c>
      <c r="K21" s="49">
        <v>0</v>
      </c>
      <c r="L21" s="49">
        <v>0</v>
      </c>
    </row>
  </sheetData>
  <mergeCells count="2">
    <mergeCell ref="B8:L8"/>
    <mergeCell ref="B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90" zoomScaleNormal="90" workbookViewId="0">
      <selection activeCell="G23" sqref="G23"/>
    </sheetView>
  </sheetViews>
  <sheetFormatPr baseColWidth="10" defaultRowHeight="14.5" x14ac:dyDescent="0.35"/>
  <cols>
    <col min="1" max="1" width="22.54296875" customWidth="1"/>
    <col min="2" max="12" width="16" bestFit="1" customWidth="1"/>
  </cols>
  <sheetData>
    <row r="1" spans="1:12" ht="15" thickBot="1" x14ac:dyDescent="0.4">
      <c r="A1" s="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2" ht="15.5" thickTop="1" thickBot="1" x14ac:dyDescent="0.4">
      <c r="A2" s="22" t="s">
        <v>3</v>
      </c>
      <c r="B2" s="22">
        <v>2008</v>
      </c>
      <c r="C2" s="22">
        <v>2009</v>
      </c>
      <c r="D2" s="22">
        <v>2010</v>
      </c>
      <c r="E2" s="22">
        <v>2011</v>
      </c>
      <c r="F2" s="22">
        <v>2012</v>
      </c>
      <c r="G2" s="22">
        <v>2013</v>
      </c>
      <c r="H2" s="22">
        <v>2014</v>
      </c>
      <c r="I2" s="22">
        <v>2015</v>
      </c>
      <c r="J2" s="22">
        <v>2016</v>
      </c>
      <c r="K2" s="22">
        <v>2017</v>
      </c>
      <c r="L2" s="22">
        <v>2018</v>
      </c>
    </row>
    <row r="3" spans="1:12" ht="15.5" thickTop="1" thickBot="1" x14ac:dyDescent="0.4">
      <c r="A3" s="26" t="s">
        <v>4</v>
      </c>
      <c r="B3" s="112">
        <v>0</v>
      </c>
      <c r="C3" s="114">
        <v>0</v>
      </c>
      <c r="D3" s="112">
        <v>0</v>
      </c>
      <c r="E3" s="114">
        <v>0</v>
      </c>
      <c r="F3" s="112">
        <v>0</v>
      </c>
      <c r="G3" s="112">
        <v>0</v>
      </c>
      <c r="H3" s="112">
        <v>0</v>
      </c>
      <c r="I3" s="112">
        <v>0</v>
      </c>
      <c r="J3" s="112">
        <v>4.3999999999999997E-2</v>
      </c>
      <c r="K3" s="112">
        <v>0</v>
      </c>
      <c r="L3" s="112">
        <v>3.7999999999999999E-2</v>
      </c>
    </row>
    <row r="4" spans="1:12" ht="15" thickBot="1" x14ac:dyDescent="0.4">
      <c r="A4" s="19" t="s">
        <v>5</v>
      </c>
      <c r="B4" s="107">
        <v>3.2000000000000001E-2</v>
      </c>
      <c r="C4" s="107">
        <v>3.1E-2</v>
      </c>
      <c r="D4" s="107">
        <v>3.1E-2</v>
      </c>
      <c r="E4" s="115">
        <v>0.03</v>
      </c>
      <c r="F4" s="107">
        <v>1.7999999999999999E-2</v>
      </c>
      <c r="G4" s="107">
        <v>2.8000000000000001E-2</v>
      </c>
      <c r="H4" s="107">
        <v>2.7E-2</v>
      </c>
      <c r="I4" s="107">
        <v>2.7E-2</v>
      </c>
      <c r="J4" s="107">
        <v>2.7E-2</v>
      </c>
      <c r="K4" s="107">
        <v>3.7999999999999999E-2</v>
      </c>
      <c r="L4" s="107">
        <v>2.5000000000000001E-2</v>
      </c>
    </row>
    <row r="5" spans="1:12" ht="15" thickBot="1" x14ac:dyDescent="0.4">
      <c r="A5" s="20" t="s">
        <v>6</v>
      </c>
      <c r="B5" s="108">
        <v>0</v>
      </c>
      <c r="C5" s="108">
        <v>0</v>
      </c>
      <c r="D5" s="108">
        <v>0</v>
      </c>
      <c r="E5" s="116">
        <v>0</v>
      </c>
      <c r="F5" s="108">
        <v>0</v>
      </c>
      <c r="G5" s="108">
        <v>0</v>
      </c>
      <c r="H5" s="108">
        <v>0</v>
      </c>
      <c r="I5" s="108">
        <v>0</v>
      </c>
      <c r="J5" s="108">
        <v>5.7999999999999996E-3</v>
      </c>
      <c r="K5" s="108">
        <v>0</v>
      </c>
      <c r="L5" s="108">
        <v>0</v>
      </c>
    </row>
    <row r="6" spans="1:12" ht="15" thickBot="1" x14ac:dyDescent="0.4">
      <c r="A6" s="21" t="s">
        <v>7</v>
      </c>
      <c r="B6" s="109">
        <v>0</v>
      </c>
      <c r="C6" s="109">
        <v>0</v>
      </c>
      <c r="D6" s="109">
        <v>0</v>
      </c>
      <c r="E6" s="117">
        <v>0</v>
      </c>
      <c r="F6" s="109">
        <v>0</v>
      </c>
      <c r="G6" s="109">
        <v>0</v>
      </c>
      <c r="H6" s="109">
        <v>0</v>
      </c>
      <c r="I6" s="109">
        <v>0</v>
      </c>
      <c r="J6" s="109">
        <v>0</v>
      </c>
      <c r="K6" s="109">
        <v>0</v>
      </c>
      <c r="L6" s="109">
        <v>0</v>
      </c>
    </row>
    <row r="7" spans="1:12" x14ac:dyDescent="0.35">
      <c r="A7" s="2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</row>
    <row r="8" spans="1:12" x14ac:dyDescent="0.35">
      <c r="A8" s="48"/>
      <c r="B8" s="103" t="s">
        <v>47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</row>
    <row r="9" spans="1:12" x14ac:dyDescent="0.35">
      <c r="A9" s="47" t="s">
        <v>2</v>
      </c>
      <c r="B9" s="78">
        <v>2008</v>
      </c>
      <c r="C9" s="78">
        <v>2009</v>
      </c>
      <c r="D9" s="78">
        <v>2010</v>
      </c>
      <c r="E9" s="78">
        <v>2011</v>
      </c>
      <c r="F9" s="78">
        <v>2012</v>
      </c>
      <c r="G9" s="78">
        <v>2013</v>
      </c>
      <c r="H9" s="78">
        <v>2014</v>
      </c>
      <c r="I9" s="78">
        <v>2015</v>
      </c>
      <c r="J9" s="78">
        <v>2016</v>
      </c>
      <c r="K9" s="78">
        <v>2017</v>
      </c>
      <c r="L9" s="78">
        <v>2018</v>
      </c>
    </row>
    <row r="10" spans="1:12" x14ac:dyDescent="0.35">
      <c r="A10" s="50" t="s">
        <v>40</v>
      </c>
      <c r="B10" s="118">
        <v>0</v>
      </c>
      <c r="C10" s="118">
        <v>0</v>
      </c>
      <c r="D10" s="118">
        <v>0</v>
      </c>
      <c r="E10" s="118">
        <v>3.5000000000000003E-2</v>
      </c>
      <c r="F10" s="118">
        <v>3.5000000000000003E-2</v>
      </c>
      <c r="G10" s="118">
        <v>3.3000000000000002E-2</v>
      </c>
      <c r="H10" s="118">
        <v>3.3000000000000002E-2</v>
      </c>
      <c r="I10" s="118">
        <v>3.3000000000000002E-2</v>
      </c>
      <c r="J10" s="118">
        <v>3.3000000000000002E-2</v>
      </c>
      <c r="K10" s="118">
        <v>3.2000000000000001E-2</v>
      </c>
      <c r="L10" s="118">
        <v>0.03</v>
      </c>
    </row>
    <row r="11" spans="1:12" x14ac:dyDescent="0.35">
      <c r="A11" s="50" t="s">
        <v>34</v>
      </c>
      <c r="B11" s="118">
        <v>3.2000000000000001E-2</v>
      </c>
      <c r="C11" s="118">
        <v>3.1E-2</v>
      </c>
      <c r="D11" s="118">
        <v>3.1E-2</v>
      </c>
      <c r="E11" s="118">
        <v>0.03</v>
      </c>
      <c r="F11" s="118">
        <v>1.7000000000000001E-2</v>
      </c>
      <c r="G11" s="118">
        <v>2.7E-2</v>
      </c>
      <c r="H11" s="118">
        <v>2.7E-2</v>
      </c>
      <c r="I11" s="118">
        <v>2.5999999999999999E-2</v>
      </c>
      <c r="J11" s="118">
        <v>2.5999999999999999E-2</v>
      </c>
      <c r="K11" s="118">
        <v>0.04</v>
      </c>
      <c r="L11" s="118">
        <v>2.5000000000000001E-2</v>
      </c>
    </row>
    <row r="12" spans="1:12" x14ac:dyDescent="0.35">
      <c r="A12" s="50" t="s">
        <v>41</v>
      </c>
      <c r="B12" s="118">
        <v>0</v>
      </c>
      <c r="C12" s="118">
        <v>0</v>
      </c>
      <c r="D12" s="118">
        <v>0</v>
      </c>
      <c r="E12" s="118">
        <v>0</v>
      </c>
      <c r="F12" s="118">
        <v>0</v>
      </c>
      <c r="G12" s="118">
        <v>0</v>
      </c>
      <c r="H12" s="118">
        <f>'2011'!$B6</f>
        <v>0</v>
      </c>
      <c r="I12" s="118">
        <v>0</v>
      </c>
      <c r="J12" s="118">
        <v>2.5000000000000001E-2</v>
      </c>
      <c r="K12" s="118">
        <v>2.5000000000000001E-2</v>
      </c>
      <c r="L12" s="118">
        <v>2.5000000000000001E-2</v>
      </c>
    </row>
    <row r="13" spans="1:12" x14ac:dyDescent="0.35">
      <c r="A13" s="50" t="s">
        <v>42</v>
      </c>
      <c r="B13" s="118">
        <v>0</v>
      </c>
      <c r="C13" s="118">
        <v>0</v>
      </c>
      <c r="D13" s="118">
        <v>0</v>
      </c>
      <c r="E13" s="118">
        <f>'2008'!$B7</f>
        <v>0</v>
      </c>
      <c r="F13" s="118">
        <v>0</v>
      </c>
      <c r="G13" s="118">
        <v>0</v>
      </c>
      <c r="H13" s="118">
        <f>'2011'!$B7</f>
        <v>0</v>
      </c>
      <c r="I13" s="118">
        <f>'2012'!$B7</f>
        <v>0</v>
      </c>
      <c r="J13" s="118">
        <v>3.7999999999999999E-2</v>
      </c>
      <c r="K13" s="118">
        <v>0</v>
      </c>
      <c r="L13" s="118">
        <v>0</v>
      </c>
    </row>
    <row r="14" spans="1:12" x14ac:dyDescent="0.35">
      <c r="A14" s="49" t="s">
        <v>36</v>
      </c>
      <c r="B14" s="118">
        <v>0</v>
      </c>
      <c r="C14" s="118">
        <v>0.01</v>
      </c>
      <c r="D14" s="118">
        <v>0</v>
      </c>
      <c r="E14" s="118">
        <f>'2008'!$B8</f>
        <v>0</v>
      </c>
      <c r="F14" s="118">
        <f>'2009'!$B8</f>
        <v>0</v>
      </c>
      <c r="G14" s="118">
        <f>'2010'!$B8</f>
        <v>0</v>
      </c>
      <c r="H14" s="118">
        <f>'2011'!$B8</f>
        <v>0</v>
      </c>
      <c r="I14" s="118">
        <f>'2012'!$B8</f>
        <v>0</v>
      </c>
      <c r="J14" s="118">
        <f>'2013'!$B8</f>
        <v>0</v>
      </c>
      <c r="K14" s="118">
        <f>'2014'!$B8</f>
        <v>0</v>
      </c>
      <c r="L14" s="118">
        <v>0</v>
      </c>
    </row>
    <row r="15" spans="1:12" x14ac:dyDescent="0.35">
      <c r="A15" s="50" t="s">
        <v>43</v>
      </c>
      <c r="B15" s="118">
        <v>0</v>
      </c>
      <c r="C15" s="118">
        <f>'2017'!$B9</f>
        <v>0</v>
      </c>
      <c r="D15" s="118">
        <f>'2018'!$B9</f>
        <v>0</v>
      </c>
      <c r="E15" s="118">
        <f>'2008'!$B9</f>
        <v>0</v>
      </c>
      <c r="F15" s="118">
        <f>'2009'!$B9</f>
        <v>0</v>
      </c>
      <c r="G15" s="118">
        <f>'2010'!$B9</f>
        <v>0</v>
      </c>
      <c r="H15" s="118">
        <f>'2011'!$B9</f>
        <v>0</v>
      </c>
      <c r="I15" s="118">
        <f>'2012'!$B9</f>
        <v>0</v>
      </c>
      <c r="J15" s="118">
        <v>3.5999999999999997E-2</v>
      </c>
      <c r="K15" s="118">
        <f>'2014'!$B9</f>
        <v>0</v>
      </c>
      <c r="L15" s="118">
        <f>'2015'!$B9</f>
        <v>0</v>
      </c>
    </row>
    <row r="16" spans="1:12" x14ac:dyDescent="0.35">
      <c r="A16" s="49" t="s">
        <v>35</v>
      </c>
      <c r="B16" s="118">
        <v>0</v>
      </c>
      <c r="C16" s="118">
        <v>4.5999999999999999E-2</v>
      </c>
      <c r="D16" s="118">
        <v>4.2999999999999997E-2</v>
      </c>
      <c r="E16" s="118">
        <f>'2008'!$B10</f>
        <v>0</v>
      </c>
      <c r="F16" s="118">
        <f>'2009'!$B10</f>
        <v>0</v>
      </c>
      <c r="G16" s="118">
        <f>'2010'!$B10</f>
        <v>0</v>
      </c>
      <c r="H16" s="118">
        <f>'2011'!$B10</f>
        <v>0</v>
      </c>
      <c r="I16" s="118">
        <v>3.5999999999999997E-2</v>
      </c>
      <c r="J16" s="118">
        <f>'2013'!$B10</f>
        <v>0</v>
      </c>
      <c r="K16" s="118">
        <f>'2014'!$B10</f>
        <v>0</v>
      </c>
      <c r="L16" s="118">
        <f>'2015'!$B10</f>
        <v>0</v>
      </c>
    </row>
    <row r="17" spans="1:12" x14ac:dyDescent="0.35">
      <c r="A17" s="49" t="s">
        <v>39</v>
      </c>
      <c r="B17" s="119">
        <v>0</v>
      </c>
      <c r="C17" s="119">
        <v>0</v>
      </c>
      <c r="D17" s="119">
        <v>2.5000000000000001E-2</v>
      </c>
      <c r="E17" s="119">
        <v>0</v>
      </c>
      <c r="F17" s="119">
        <v>0</v>
      </c>
      <c r="G17" s="119">
        <v>0</v>
      </c>
      <c r="H17" s="119">
        <v>0</v>
      </c>
      <c r="I17" s="119">
        <v>0</v>
      </c>
      <c r="J17" s="119">
        <v>0</v>
      </c>
      <c r="K17" s="119">
        <v>0</v>
      </c>
      <c r="L17" s="119">
        <v>0</v>
      </c>
    </row>
    <row r="18" spans="1:12" x14ac:dyDescent="0.35">
      <c r="A18" s="50" t="s">
        <v>37</v>
      </c>
      <c r="B18" s="119">
        <v>0</v>
      </c>
      <c r="C18" s="119">
        <v>4.2999999999999997E-2</v>
      </c>
      <c r="D18" s="119">
        <v>0</v>
      </c>
      <c r="E18" s="119">
        <v>0</v>
      </c>
      <c r="F18" s="119">
        <v>0</v>
      </c>
      <c r="G18" s="119">
        <v>0</v>
      </c>
      <c r="H18" s="119">
        <v>0</v>
      </c>
      <c r="I18" s="119">
        <v>0</v>
      </c>
      <c r="J18" s="119">
        <v>4.2000000000000003E-2</v>
      </c>
      <c r="K18" s="119">
        <v>3.7999999999999999E-2</v>
      </c>
      <c r="L18" s="119">
        <v>3.3000000000000002E-2</v>
      </c>
    </row>
    <row r="19" spans="1:12" x14ac:dyDescent="0.35">
      <c r="A19" s="50" t="s">
        <v>44</v>
      </c>
      <c r="B19" s="119">
        <v>0</v>
      </c>
      <c r="C19" s="119">
        <v>0</v>
      </c>
      <c r="D19" s="119">
        <v>0</v>
      </c>
      <c r="E19" s="119">
        <v>0</v>
      </c>
      <c r="F19" s="119">
        <v>0</v>
      </c>
      <c r="G19" s="119">
        <v>0</v>
      </c>
      <c r="H19" s="119">
        <v>0</v>
      </c>
      <c r="I19" s="119">
        <v>0</v>
      </c>
      <c r="J19" s="119">
        <v>4.3999999999999997E-2</v>
      </c>
      <c r="K19" s="119">
        <v>0</v>
      </c>
      <c r="L19" s="119">
        <v>3.7999999999999999E-2</v>
      </c>
    </row>
    <row r="20" spans="1:12" x14ac:dyDescent="0.35">
      <c r="A20" s="49" t="s">
        <v>45</v>
      </c>
      <c r="B20" s="119">
        <v>0</v>
      </c>
      <c r="C20" s="119">
        <v>0</v>
      </c>
      <c r="D20" s="119">
        <v>0</v>
      </c>
      <c r="E20" s="119">
        <v>0</v>
      </c>
      <c r="F20" s="119">
        <v>0</v>
      </c>
      <c r="G20" s="119">
        <v>0</v>
      </c>
      <c r="H20" s="119">
        <v>0</v>
      </c>
      <c r="I20" s="119">
        <v>0</v>
      </c>
      <c r="J20" s="119">
        <v>5.7999999999999996E-3</v>
      </c>
      <c r="K20" s="119">
        <v>0</v>
      </c>
      <c r="L20" s="119">
        <v>0</v>
      </c>
    </row>
    <row r="21" spans="1:12" x14ac:dyDescent="0.35">
      <c r="A21" s="49" t="s">
        <v>38</v>
      </c>
      <c r="B21" s="119">
        <v>0</v>
      </c>
      <c r="C21" s="119">
        <v>0</v>
      </c>
      <c r="D21" s="119">
        <v>1.7000000000000001E-2</v>
      </c>
      <c r="E21" s="119">
        <v>0</v>
      </c>
      <c r="F21" s="119">
        <v>8.9999999999999993E-3</v>
      </c>
      <c r="G21" s="119">
        <v>0</v>
      </c>
      <c r="H21" s="119">
        <v>0.01</v>
      </c>
      <c r="I21" s="119">
        <v>0</v>
      </c>
      <c r="J21" s="119">
        <v>0</v>
      </c>
      <c r="K21" s="119">
        <v>0</v>
      </c>
      <c r="L21" s="119">
        <v>0</v>
      </c>
    </row>
    <row r="22" spans="1:12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</sheetData>
  <mergeCells count="2">
    <mergeCell ref="B1:L1"/>
    <mergeCell ref="B8:L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80" zoomScaleNormal="80" workbookViewId="0">
      <selection activeCell="H20" sqref="H20"/>
    </sheetView>
  </sheetViews>
  <sheetFormatPr baseColWidth="10" defaultColWidth="11.453125" defaultRowHeight="14.5" x14ac:dyDescent="0.35"/>
  <cols>
    <col min="1" max="1" width="22.54296875" style="2" customWidth="1"/>
    <col min="2" max="16384" width="11.453125" style="2"/>
  </cols>
  <sheetData>
    <row r="1" spans="1:12" ht="15" thickBot="1" x14ac:dyDescent="0.4"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2" ht="15.5" thickTop="1" thickBot="1" x14ac:dyDescent="0.4">
      <c r="A2" s="22" t="s">
        <v>3</v>
      </c>
      <c r="B2" s="22">
        <v>2008</v>
      </c>
      <c r="C2" s="22">
        <v>2009</v>
      </c>
      <c r="D2" s="22">
        <v>2010</v>
      </c>
      <c r="E2" s="22">
        <v>2011</v>
      </c>
      <c r="F2" s="22">
        <v>2012</v>
      </c>
      <c r="G2" s="22">
        <v>2013</v>
      </c>
      <c r="H2" s="22">
        <v>2014</v>
      </c>
      <c r="I2" s="22">
        <v>2015</v>
      </c>
      <c r="J2" s="22">
        <v>2016</v>
      </c>
      <c r="K2" s="22">
        <v>2017</v>
      </c>
      <c r="L2" s="22">
        <v>2018</v>
      </c>
    </row>
    <row r="3" spans="1:12" ht="15.5" thickTop="1" thickBot="1" x14ac:dyDescent="0.4">
      <c r="A3" s="26" t="s">
        <v>4</v>
      </c>
      <c r="B3" s="66">
        <v>0</v>
      </c>
      <c r="C3" s="67">
        <v>0</v>
      </c>
      <c r="D3" s="66">
        <v>0</v>
      </c>
      <c r="E3" s="67">
        <v>0</v>
      </c>
      <c r="F3" s="66">
        <v>0</v>
      </c>
      <c r="G3" s="66">
        <v>0</v>
      </c>
      <c r="H3" s="66">
        <v>0</v>
      </c>
      <c r="I3" s="66">
        <v>0</v>
      </c>
      <c r="J3" s="66">
        <v>1.7949999999999999</v>
      </c>
      <c r="K3" s="66">
        <v>0</v>
      </c>
      <c r="L3" s="66">
        <v>2.242</v>
      </c>
    </row>
    <row r="4" spans="1:12" ht="15" thickBot="1" x14ac:dyDescent="0.4">
      <c r="A4" s="19" t="s">
        <v>5</v>
      </c>
      <c r="B4" s="68">
        <v>1.712</v>
      </c>
      <c r="C4" s="68">
        <v>1.6259999999999999</v>
      </c>
      <c r="D4" s="68">
        <v>1.6950000000000001</v>
      </c>
      <c r="E4" s="69">
        <v>1.6439999999999999</v>
      </c>
      <c r="F4" s="68">
        <v>1.7090000000000001</v>
      </c>
      <c r="G4" s="68">
        <v>1.796</v>
      </c>
      <c r="H4" s="68">
        <v>1.85</v>
      </c>
      <c r="I4" s="68">
        <v>1.853</v>
      </c>
      <c r="J4" s="68">
        <v>1.8420000000000001</v>
      </c>
      <c r="K4" s="68">
        <v>1.81</v>
      </c>
      <c r="L4" s="68">
        <v>1.8260000000000001</v>
      </c>
    </row>
    <row r="5" spans="1:12" ht="15" thickBot="1" x14ac:dyDescent="0.4">
      <c r="A5" s="20" t="s">
        <v>6</v>
      </c>
      <c r="B5" s="70">
        <v>0</v>
      </c>
      <c r="C5" s="70">
        <v>0</v>
      </c>
      <c r="D5" s="70">
        <v>0</v>
      </c>
      <c r="E5" s="71">
        <v>0</v>
      </c>
      <c r="F5" s="70">
        <v>0</v>
      </c>
      <c r="G5" s="70">
        <v>0</v>
      </c>
      <c r="H5" s="70">
        <v>0</v>
      </c>
      <c r="I5" s="70">
        <v>0</v>
      </c>
      <c r="J5" s="70">
        <v>0.54800000000000004</v>
      </c>
      <c r="K5" s="70">
        <v>0</v>
      </c>
      <c r="L5" s="70">
        <v>0</v>
      </c>
    </row>
    <row r="6" spans="1:12" ht="15" thickBot="1" x14ac:dyDescent="0.4">
      <c r="A6" s="21" t="s">
        <v>7</v>
      </c>
      <c r="B6" s="72">
        <v>0</v>
      </c>
      <c r="C6" s="72">
        <v>0</v>
      </c>
      <c r="D6" s="72">
        <v>0</v>
      </c>
      <c r="E6" s="73">
        <v>0</v>
      </c>
      <c r="F6" s="72">
        <v>0</v>
      </c>
      <c r="G6" s="72">
        <v>0</v>
      </c>
      <c r="H6" s="72">
        <v>0</v>
      </c>
      <c r="I6" s="72">
        <v>0</v>
      </c>
      <c r="J6" s="72">
        <v>0</v>
      </c>
      <c r="K6" s="72">
        <v>0</v>
      </c>
      <c r="L6" s="72">
        <v>0</v>
      </c>
    </row>
    <row r="7" spans="1:12" x14ac:dyDescent="0.3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</row>
    <row r="8" spans="1:12" x14ac:dyDescent="0.35">
      <c r="A8" s="48"/>
      <c r="B8" s="104" t="s">
        <v>48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</row>
    <row r="9" spans="1:12" x14ac:dyDescent="0.35">
      <c r="A9" s="47" t="s">
        <v>2</v>
      </c>
      <c r="B9" s="75">
        <v>2008</v>
      </c>
      <c r="C9" s="75">
        <v>2009</v>
      </c>
      <c r="D9" s="75">
        <v>2010</v>
      </c>
      <c r="E9" s="75">
        <v>2011</v>
      </c>
      <c r="F9" s="75">
        <v>2012</v>
      </c>
      <c r="G9" s="75">
        <v>2013</v>
      </c>
      <c r="H9" s="75">
        <v>2014</v>
      </c>
      <c r="I9" s="75">
        <v>2015</v>
      </c>
      <c r="J9" s="75">
        <v>2016</v>
      </c>
      <c r="K9" s="75">
        <v>2017</v>
      </c>
      <c r="L9" s="75">
        <v>2018</v>
      </c>
    </row>
    <row r="10" spans="1:12" x14ac:dyDescent="0.35">
      <c r="A10" s="50" t="s">
        <v>40</v>
      </c>
      <c r="B10" s="76">
        <v>0</v>
      </c>
      <c r="C10" s="76">
        <v>0</v>
      </c>
      <c r="D10" s="76">
        <v>0</v>
      </c>
      <c r="E10" s="76">
        <v>1.6220000000000001</v>
      </c>
      <c r="F10" s="76">
        <v>1.5489999999999999</v>
      </c>
      <c r="G10" s="76">
        <v>1.6539999999999999</v>
      </c>
      <c r="H10" s="76">
        <v>1.6459999999999999</v>
      </c>
      <c r="I10" s="76">
        <v>1.6439999999999999</v>
      </c>
      <c r="J10" s="76">
        <v>1.6120000000000001</v>
      </c>
      <c r="K10" s="76">
        <v>1.6419999999999999</v>
      </c>
      <c r="L10" s="76">
        <v>1.7010000000000001</v>
      </c>
    </row>
    <row r="11" spans="1:12" x14ac:dyDescent="0.35">
      <c r="A11" s="50" t="s">
        <v>34</v>
      </c>
      <c r="B11" s="76">
        <v>1.712</v>
      </c>
      <c r="C11" s="76">
        <v>1.6830000000000001</v>
      </c>
      <c r="D11" s="76">
        <v>1.68</v>
      </c>
      <c r="E11" s="76">
        <v>1.6439999999999999</v>
      </c>
      <c r="F11" s="76">
        <v>1.7150000000000001</v>
      </c>
      <c r="G11" s="76">
        <v>1.8180000000000001</v>
      </c>
      <c r="H11" s="76">
        <v>1.88</v>
      </c>
      <c r="I11" s="76">
        <v>1.867</v>
      </c>
      <c r="J11" s="76">
        <v>1.837</v>
      </c>
      <c r="K11" s="76">
        <v>1.7889999999999999</v>
      </c>
      <c r="L11" s="76">
        <v>1.784</v>
      </c>
    </row>
    <row r="12" spans="1:12" x14ac:dyDescent="0.35">
      <c r="A12" s="50" t="s">
        <v>41</v>
      </c>
      <c r="B12" s="76">
        <v>0</v>
      </c>
      <c r="C12" s="76">
        <v>0</v>
      </c>
      <c r="D12" s="76">
        <v>0</v>
      </c>
      <c r="E12" s="76">
        <v>0</v>
      </c>
      <c r="F12" s="76">
        <v>0</v>
      </c>
      <c r="G12" s="76">
        <v>0</v>
      </c>
      <c r="H12" s="76">
        <f>'2011'!$B6</f>
        <v>0</v>
      </c>
      <c r="I12" s="76">
        <v>0</v>
      </c>
      <c r="J12" s="76">
        <v>2.0510000000000002</v>
      </c>
      <c r="K12" s="76">
        <v>1.996</v>
      </c>
      <c r="L12" s="76">
        <v>1.946</v>
      </c>
    </row>
    <row r="13" spans="1:12" x14ac:dyDescent="0.35">
      <c r="A13" s="50" t="s">
        <v>42</v>
      </c>
      <c r="B13" s="76">
        <v>0</v>
      </c>
      <c r="C13" s="76">
        <v>0</v>
      </c>
      <c r="D13" s="76">
        <v>0</v>
      </c>
      <c r="E13" s="76">
        <f>'2008'!$B7</f>
        <v>0</v>
      </c>
      <c r="F13" s="76">
        <v>0</v>
      </c>
      <c r="G13" s="76">
        <v>0</v>
      </c>
      <c r="H13" s="76">
        <f>'2011'!$B7</f>
        <v>0</v>
      </c>
      <c r="I13" s="76">
        <f>'2012'!$B7</f>
        <v>0</v>
      </c>
      <c r="J13" s="76">
        <v>1.6619999999999999</v>
      </c>
      <c r="K13" s="76">
        <v>0</v>
      </c>
      <c r="L13" s="76">
        <v>0</v>
      </c>
    </row>
    <row r="14" spans="1:12" x14ac:dyDescent="0.35">
      <c r="A14" s="49" t="s">
        <v>36</v>
      </c>
      <c r="B14" s="76">
        <v>0</v>
      </c>
      <c r="C14" s="76">
        <v>0.54800000000000004</v>
      </c>
      <c r="D14" s="76">
        <v>0</v>
      </c>
      <c r="E14" s="76">
        <f>'2008'!$B8</f>
        <v>0</v>
      </c>
      <c r="F14" s="76">
        <f>'2009'!$B8</f>
        <v>0</v>
      </c>
      <c r="G14" s="76">
        <f>'2010'!$B8</f>
        <v>0</v>
      </c>
      <c r="H14" s="76">
        <f>'2011'!$B8</f>
        <v>0</v>
      </c>
      <c r="I14" s="76">
        <f>'2012'!$B8</f>
        <v>0</v>
      </c>
      <c r="J14" s="76">
        <f>'2013'!$B8</f>
        <v>0</v>
      </c>
      <c r="K14" s="76">
        <f>'2014'!$B8</f>
        <v>0</v>
      </c>
      <c r="L14" s="76">
        <v>0</v>
      </c>
    </row>
    <row r="15" spans="1:12" x14ac:dyDescent="0.35">
      <c r="A15" s="50" t="s">
        <v>43</v>
      </c>
      <c r="B15" s="76">
        <v>0</v>
      </c>
      <c r="C15" s="76">
        <f>'2017'!$B9</f>
        <v>0</v>
      </c>
      <c r="D15" s="76">
        <f>'2018'!$B9</f>
        <v>0</v>
      </c>
      <c r="E15" s="76">
        <f>'2008'!$B9</f>
        <v>0</v>
      </c>
      <c r="F15" s="76">
        <f>'2009'!$B9</f>
        <v>0</v>
      </c>
      <c r="G15" s="76">
        <f>'2010'!$B9</f>
        <v>0</v>
      </c>
      <c r="H15" s="76">
        <f>'2011'!$B9</f>
        <v>0</v>
      </c>
      <c r="I15" s="76">
        <f>'2012'!$B9</f>
        <v>0</v>
      </c>
      <c r="J15" s="76">
        <v>1.8759999999999999</v>
      </c>
      <c r="K15" s="76">
        <f>'2014'!$B9</f>
        <v>0</v>
      </c>
      <c r="L15" s="76">
        <f>'2015'!$B9</f>
        <v>0</v>
      </c>
    </row>
    <row r="16" spans="1:12" x14ac:dyDescent="0.35">
      <c r="A16" s="49" t="s">
        <v>35</v>
      </c>
      <c r="B16" s="76">
        <v>0</v>
      </c>
      <c r="C16" s="76">
        <v>1.468</v>
      </c>
      <c r="D16" s="76">
        <v>1.6930000000000001</v>
      </c>
      <c r="E16" s="76">
        <f>'2008'!$B10</f>
        <v>0</v>
      </c>
      <c r="F16" s="76">
        <f>'2009'!$B10</f>
        <v>0</v>
      </c>
      <c r="G16" s="76">
        <f>'2010'!$B10</f>
        <v>0</v>
      </c>
      <c r="H16" s="76">
        <f>'2011'!$B10</f>
        <v>0</v>
      </c>
      <c r="I16" s="76">
        <v>2.0150000000000001</v>
      </c>
      <c r="J16" s="76">
        <f>'2013'!$B10</f>
        <v>0</v>
      </c>
      <c r="K16" s="76">
        <f>'2014'!$B10</f>
        <v>0</v>
      </c>
      <c r="L16" s="76">
        <f>'2015'!$B10</f>
        <v>0</v>
      </c>
    </row>
    <row r="17" spans="1:12" x14ac:dyDescent="0.35">
      <c r="A17" s="49" t="s">
        <v>39</v>
      </c>
      <c r="B17" s="77">
        <v>0</v>
      </c>
      <c r="C17" s="77">
        <v>0</v>
      </c>
      <c r="D17" s="77">
        <v>1.952</v>
      </c>
      <c r="E17" s="77">
        <v>0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1:12" x14ac:dyDescent="0.35">
      <c r="A18" s="50" t="s">
        <v>37</v>
      </c>
      <c r="B18" s="77">
        <v>0</v>
      </c>
      <c r="C18" s="77">
        <v>1.925</v>
      </c>
      <c r="D18" s="77">
        <v>0</v>
      </c>
      <c r="E18" s="77">
        <v>0</v>
      </c>
      <c r="F18" s="77">
        <v>0</v>
      </c>
      <c r="G18" s="77">
        <v>0</v>
      </c>
      <c r="H18" s="77">
        <v>0</v>
      </c>
      <c r="I18" s="77">
        <v>0</v>
      </c>
      <c r="J18" s="77">
        <v>1.671</v>
      </c>
      <c r="K18" s="77">
        <v>1.9119999999999999</v>
      </c>
      <c r="L18" s="77">
        <v>2.504</v>
      </c>
    </row>
    <row r="19" spans="1:12" x14ac:dyDescent="0.35">
      <c r="A19" s="50" t="s">
        <v>44</v>
      </c>
      <c r="B19" s="77">
        <v>0</v>
      </c>
      <c r="C19" s="77">
        <v>0</v>
      </c>
      <c r="D19" s="77">
        <v>0</v>
      </c>
      <c r="E19" s="77">
        <v>0</v>
      </c>
      <c r="F19" s="77">
        <v>0</v>
      </c>
      <c r="G19" s="77">
        <v>0</v>
      </c>
      <c r="H19" s="77">
        <v>0</v>
      </c>
      <c r="I19" s="77">
        <v>0</v>
      </c>
      <c r="J19" s="77">
        <v>1.7949999999999999</v>
      </c>
      <c r="K19" s="77">
        <v>0</v>
      </c>
      <c r="L19" s="77">
        <v>2.242</v>
      </c>
    </row>
    <row r="20" spans="1:12" x14ac:dyDescent="0.35">
      <c r="A20" s="49" t="s">
        <v>45</v>
      </c>
      <c r="B20" s="77">
        <v>0</v>
      </c>
      <c r="C20" s="77">
        <v>0</v>
      </c>
      <c r="D20" s="77">
        <v>0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0.54800000000000004</v>
      </c>
      <c r="K20" s="77">
        <v>0</v>
      </c>
      <c r="L20" s="77">
        <v>0</v>
      </c>
    </row>
    <row r="21" spans="1:12" x14ac:dyDescent="0.35">
      <c r="A21" s="49" t="s">
        <v>38</v>
      </c>
      <c r="B21" s="77">
        <v>0</v>
      </c>
      <c r="C21" s="77">
        <v>0</v>
      </c>
      <c r="D21" s="77">
        <v>0.54800000000000004</v>
      </c>
      <c r="E21" s="77">
        <v>0</v>
      </c>
      <c r="F21" s="77">
        <v>0.54800000000000004</v>
      </c>
      <c r="G21" s="77">
        <v>0</v>
      </c>
      <c r="H21" s="77">
        <v>0.54800000000000004</v>
      </c>
      <c r="I21" s="77">
        <v>0</v>
      </c>
      <c r="J21" s="77">
        <v>0</v>
      </c>
      <c r="K21" s="77">
        <v>0</v>
      </c>
      <c r="L21" s="77">
        <v>0</v>
      </c>
    </row>
  </sheetData>
  <mergeCells count="2">
    <mergeCell ref="B1:L1"/>
    <mergeCell ref="B8:L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2" zoomScale="112" zoomScaleNormal="112" workbookViewId="0">
      <selection activeCell="B10" sqref="B10:L21"/>
    </sheetView>
  </sheetViews>
  <sheetFormatPr baseColWidth="10" defaultColWidth="11.453125" defaultRowHeight="14.5" x14ac:dyDescent="0.35"/>
  <cols>
    <col min="1" max="1" width="22.54296875" style="2" customWidth="1"/>
    <col min="2" max="16384" width="11.453125" style="2"/>
  </cols>
  <sheetData>
    <row r="1" spans="1:12" ht="15" thickBot="1" x14ac:dyDescent="0.4"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2" ht="15.5" thickTop="1" thickBot="1" x14ac:dyDescent="0.4">
      <c r="A2" s="22" t="s">
        <v>3</v>
      </c>
      <c r="B2" s="22">
        <v>2008</v>
      </c>
      <c r="C2" s="22">
        <v>2009</v>
      </c>
      <c r="D2" s="22">
        <v>2010</v>
      </c>
      <c r="E2" s="22">
        <v>2011</v>
      </c>
      <c r="F2" s="22">
        <v>2012</v>
      </c>
      <c r="G2" s="22">
        <v>2013</v>
      </c>
      <c r="H2" s="22">
        <v>2014</v>
      </c>
      <c r="I2" s="22">
        <v>2015</v>
      </c>
      <c r="J2" s="22">
        <v>2016</v>
      </c>
      <c r="K2" s="22">
        <v>2017</v>
      </c>
      <c r="L2" s="22">
        <v>2018</v>
      </c>
    </row>
    <row r="3" spans="1:12" ht="15.5" thickTop="1" thickBot="1" x14ac:dyDescent="0.4">
      <c r="A3" s="57" t="s">
        <v>4</v>
      </c>
      <c r="B3" s="88">
        <v>0</v>
      </c>
      <c r="C3" s="89">
        <v>0</v>
      </c>
      <c r="D3" s="88">
        <v>0</v>
      </c>
      <c r="E3" s="89">
        <v>0</v>
      </c>
      <c r="F3" s="88">
        <v>0</v>
      </c>
      <c r="G3" s="88">
        <v>0</v>
      </c>
      <c r="H3" s="88">
        <v>0</v>
      </c>
      <c r="I3" s="88">
        <v>0</v>
      </c>
      <c r="J3" s="88">
        <v>3.0779999999999998</v>
      </c>
      <c r="K3" s="88">
        <v>0</v>
      </c>
      <c r="L3" s="88">
        <v>0.64100000000000001</v>
      </c>
    </row>
    <row r="4" spans="1:12" ht="15" thickBot="1" x14ac:dyDescent="0.4">
      <c r="A4" s="58" t="s">
        <v>5</v>
      </c>
      <c r="B4" s="90">
        <v>13.153</v>
      </c>
      <c r="C4" s="90">
        <v>10.436</v>
      </c>
      <c r="D4" s="90">
        <v>10.965</v>
      </c>
      <c r="E4" s="91">
        <v>10.137</v>
      </c>
      <c r="F4" s="90">
        <v>10.688000000000001</v>
      </c>
      <c r="G4" s="90">
        <v>9.8650000000000002</v>
      </c>
      <c r="H4" s="90">
        <v>10.069000000000001</v>
      </c>
      <c r="I4" s="90">
        <v>11.178000000000001</v>
      </c>
      <c r="J4" s="90">
        <v>10.294</v>
      </c>
      <c r="K4" s="90">
        <v>9.3260000000000005</v>
      </c>
      <c r="L4" s="90">
        <v>9.4689999999999994</v>
      </c>
    </row>
    <row r="5" spans="1:12" ht="15" thickBot="1" x14ac:dyDescent="0.4">
      <c r="A5" s="59" t="s">
        <v>6</v>
      </c>
      <c r="B5" s="92">
        <v>0</v>
      </c>
      <c r="C5" s="92">
        <v>0</v>
      </c>
      <c r="D5" s="92">
        <v>0</v>
      </c>
      <c r="E5" s="93">
        <v>0</v>
      </c>
      <c r="F5" s="92">
        <v>0</v>
      </c>
      <c r="G5" s="92">
        <v>0</v>
      </c>
      <c r="H5" s="92">
        <v>0</v>
      </c>
      <c r="I5" s="92">
        <v>0</v>
      </c>
      <c r="J5" s="92">
        <v>0.47</v>
      </c>
      <c r="K5" s="92">
        <v>0</v>
      </c>
      <c r="L5" s="92">
        <v>0</v>
      </c>
    </row>
    <row r="6" spans="1:12" ht="15" thickBot="1" x14ac:dyDescent="0.4">
      <c r="A6" s="60" t="s">
        <v>7</v>
      </c>
      <c r="B6" s="94">
        <v>0</v>
      </c>
      <c r="C6" s="94">
        <v>0</v>
      </c>
      <c r="D6" s="94">
        <v>0</v>
      </c>
      <c r="E6" s="95">
        <v>0</v>
      </c>
      <c r="F6" s="94">
        <v>0</v>
      </c>
      <c r="G6" s="94">
        <v>0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</row>
    <row r="7" spans="1:12" x14ac:dyDescent="0.35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</row>
    <row r="8" spans="1:12" x14ac:dyDescent="0.35">
      <c r="A8" s="44"/>
      <c r="B8" s="105" t="s">
        <v>49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</row>
    <row r="9" spans="1:12" x14ac:dyDescent="0.35">
      <c r="A9" s="64" t="s">
        <v>2</v>
      </c>
      <c r="B9" s="64">
        <v>2008</v>
      </c>
      <c r="C9" s="64">
        <v>2009</v>
      </c>
      <c r="D9" s="64">
        <v>2010</v>
      </c>
      <c r="E9" s="64">
        <v>2011</v>
      </c>
      <c r="F9" s="64">
        <v>2012</v>
      </c>
      <c r="G9" s="64">
        <v>2013</v>
      </c>
      <c r="H9" s="64">
        <v>2014</v>
      </c>
      <c r="I9" s="64">
        <v>2015</v>
      </c>
      <c r="J9" s="64">
        <v>2016</v>
      </c>
      <c r="K9" s="64">
        <v>2017</v>
      </c>
      <c r="L9" s="64">
        <v>2018</v>
      </c>
    </row>
    <row r="10" spans="1:12" x14ac:dyDescent="0.35">
      <c r="A10" s="62" t="s">
        <v>40</v>
      </c>
      <c r="B10" s="96">
        <v>0</v>
      </c>
      <c r="C10" s="96">
        <v>0</v>
      </c>
      <c r="D10" s="96">
        <v>0</v>
      </c>
      <c r="E10" s="96">
        <v>11.584</v>
      </c>
      <c r="F10" s="96">
        <v>9.4390000000000001</v>
      </c>
      <c r="G10" s="97">
        <v>6.3849999999999998</v>
      </c>
      <c r="H10" s="96">
        <v>7.8079999999999998</v>
      </c>
      <c r="I10" s="96">
        <v>9.9239999999999995</v>
      </c>
      <c r="J10" s="96">
        <v>4.5789999999999997</v>
      </c>
      <c r="K10" s="96">
        <v>9.1980000000000004</v>
      </c>
      <c r="L10" s="96">
        <v>11.42</v>
      </c>
    </row>
    <row r="11" spans="1:12" x14ac:dyDescent="0.35">
      <c r="A11" s="62" t="s">
        <v>34</v>
      </c>
      <c r="B11" s="96">
        <v>13.153</v>
      </c>
      <c r="C11" s="96">
        <v>12.731</v>
      </c>
      <c r="D11" s="96">
        <v>11.659000000000001</v>
      </c>
      <c r="E11" s="96">
        <v>10.106</v>
      </c>
      <c r="F11" s="96">
        <v>10.928000000000001</v>
      </c>
      <c r="G11" s="97">
        <v>10.002000000000001</v>
      </c>
      <c r="H11" s="96">
        <v>10.311</v>
      </c>
      <c r="I11" s="96">
        <v>11.28</v>
      </c>
      <c r="J11" s="96">
        <v>10.226000000000001</v>
      </c>
      <c r="K11" s="96">
        <v>9.4359999999999999</v>
      </c>
      <c r="L11" s="96">
        <v>9.4570000000000007</v>
      </c>
    </row>
    <row r="12" spans="1:12" x14ac:dyDescent="0.35">
      <c r="A12" s="62" t="s">
        <v>41</v>
      </c>
      <c r="B12" s="96">
        <v>0</v>
      </c>
      <c r="C12" s="96">
        <v>0</v>
      </c>
      <c r="D12" s="96">
        <v>0</v>
      </c>
      <c r="E12" s="96">
        <v>0</v>
      </c>
      <c r="F12" s="96">
        <v>0</v>
      </c>
      <c r="G12" s="96">
        <v>0</v>
      </c>
      <c r="H12" s="96">
        <f>'2011'!$B6</f>
        <v>0</v>
      </c>
      <c r="I12" s="96">
        <v>0</v>
      </c>
      <c r="J12" s="96">
        <v>9.202</v>
      </c>
      <c r="K12" s="96">
        <v>9.1620000000000008</v>
      </c>
      <c r="L12" s="96">
        <v>9.4309999999999992</v>
      </c>
    </row>
    <row r="13" spans="1:12" x14ac:dyDescent="0.35">
      <c r="A13" s="62" t="s">
        <v>42</v>
      </c>
      <c r="B13" s="96">
        <v>0</v>
      </c>
      <c r="C13" s="96">
        <v>0</v>
      </c>
      <c r="D13" s="96">
        <v>0</v>
      </c>
      <c r="E13" s="96">
        <f>'2008'!$B7</f>
        <v>0</v>
      </c>
      <c r="F13" s="96">
        <v>0</v>
      </c>
      <c r="G13" s="96">
        <v>0</v>
      </c>
      <c r="H13" s="96">
        <f>'2011'!$B7</f>
        <v>0</v>
      </c>
      <c r="I13" s="96">
        <f>'2012'!$B7</f>
        <v>0</v>
      </c>
      <c r="J13" s="96">
        <v>0.71199999999999997</v>
      </c>
      <c r="K13" s="96">
        <v>0</v>
      </c>
      <c r="L13" s="96">
        <v>0</v>
      </c>
    </row>
    <row r="14" spans="1:12" x14ac:dyDescent="0.35">
      <c r="A14" s="63" t="s">
        <v>36</v>
      </c>
      <c r="B14" s="96">
        <v>0</v>
      </c>
      <c r="C14" s="96">
        <v>0.313</v>
      </c>
      <c r="D14" s="96">
        <v>0</v>
      </c>
      <c r="E14" s="96">
        <f>'2008'!$B8</f>
        <v>0</v>
      </c>
      <c r="F14" s="96">
        <f>'2009'!$B8</f>
        <v>0</v>
      </c>
      <c r="G14" s="96">
        <f>'2010'!$B8</f>
        <v>0</v>
      </c>
      <c r="H14" s="96">
        <f>'2011'!$B8</f>
        <v>0</v>
      </c>
      <c r="I14" s="96">
        <f>'2012'!$B8</f>
        <v>0</v>
      </c>
      <c r="J14" s="96">
        <f>'2013'!$B8</f>
        <v>0</v>
      </c>
      <c r="K14" s="96">
        <f>'2014'!$B8</f>
        <v>0</v>
      </c>
      <c r="L14" s="96">
        <v>0</v>
      </c>
    </row>
    <row r="15" spans="1:12" x14ac:dyDescent="0.35">
      <c r="A15" s="62" t="s">
        <v>43</v>
      </c>
      <c r="B15" s="96">
        <v>0</v>
      </c>
      <c r="C15" s="96">
        <f>'2017'!$B9</f>
        <v>0</v>
      </c>
      <c r="D15" s="96">
        <v>0</v>
      </c>
      <c r="E15" s="96">
        <f>'2008'!$B9</f>
        <v>0</v>
      </c>
      <c r="F15" s="96">
        <f>'2009'!$B9</f>
        <v>0</v>
      </c>
      <c r="G15" s="96">
        <f>'2010'!$B9</f>
        <v>0</v>
      </c>
      <c r="H15" s="96">
        <f>'2011'!$B9</f>
        <v>0</v>
      </c>
      <c r="I15" s="96">
        <f>'2012'!$B9</f>
        <v>0</v>
      </c>
      <c r="J15" s="96">
        <v>1.0720000000000001</v>
      </c>
      <c r="K15" s="96">
        <f>'2014'!$B9</f>
        <v>0</v>
      </c>
      <c r="L15" s="96">
        <f>'2015'!$B9</f>
        <v>0</v>
      </c>
    </row>
    <row r="16" spans="1:12" x14ac:dyDescent="0.35">
      <c r="A16" s="63" t="s">
        <v>35</v>
      </c>
      <c r="B16" s="96">
        <v>0</v>
      </c>
      <c r="C16" s="96">
        <v>1.2589999999999999</v>
      </c>
      <c r="D16" s="96">
        <v>7.4989999999999997</v>
      </c>
      <c r="E16" s="96">
        <f>'2008'!$B10</f>
        <v>0</v>
      </c>
      <c r="F16" s="96">
        <f>'2009'!$B10</f>
        <v>0</v>
      </c>
      <c r="G16" s="96">
        <f>'2010'!$B10</f>
        <v>0</v>
      </c>
      <c r="H16" s="96">
        <f>'2011'!$B10</f>
        <v>0</v>
      </c>
      <c r="I16" s="96">
        <v>4.8899999999999997</v>
      </c>
      <c r="J16" s="96">
        <f>'2013'!$B10</f>
        <v>0</v>
      </c>
      <c r="K16" s="96">
        <f>'2014'!$B10</f>
        <v>0</v>
      </c>
      <c r="L16" s="96">
        <f>'2015'!$B10</f>
        <v>0</v>
      </c>
    </row>
    <row r="17" spans="1:12" x14ac:dyDescent="0.35">
      <c r="A17" s="63" t="s">
        <v>39</v>
      </c>
      <c r="B17" s="98">
        <v>0</v>
      </c>
      <c r="C17" s="98">
        <v>0</v>
      </c>
      <c r="D17" s="98">
        <v>1.1160000000000001</v>
      </c>
      <c r="E17" s="98">
        <v>0</v>
      </c>
      <c r="F17" s="98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</row>
    <row r="18" spans="1:12" x14ac:dyDescent="0.35">
      <c r="A18" s="62" t="s">
        <v>37</v>
      </c>
      <c r="B18" s="98">
        <v>0</v>
      </c>
      <c r="C18" s="98">
        <v>1.1000000000000001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5.4909999999999997</v>
      </c>
      <c r="K18" s="98">
        <v>6.008</v>
      </c>
      <c r="L18" s="98">
        <v>2.8610000000000002</v>
      </c>
    </row>
    <row r="19" spans="1:12" x14ac:dyDescent="0.35">
      <c r="A19" s="62" t="s">
        <v>44</v>
      </c>
      <c r="B19" s="98">
        <v>0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3.0779999999999998</v>
      </c>
      <c r="K19" s="98">
        <v>0</v>
      </c>
      <c r="L19" s="98">
        <v>0.64100000000000001</v>
      </c>
    </row>
    <row r="20" spans="1:12" x14ac:dyDescent="0.35">
      <c r="A20" s="63" t="s">
        <v>45</v>
      </c>
      <c r="B20" s="98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0.47</v>
      </c>
      <c r="K20" s="98">
        <v>0</v>
      </c>
      <c r="L20" s="98">
        <v>0</v>
      </c>
    </row>
    <row r="21" spans="1:12" x14ac:dyDescent="0.35">
      <c r="A21" s="63" t="s">
        <v>38</v>
      </c>
      <c r="B21" s="98">
        <v>0</v>
      </c>
      <c r="C21" s="98">
        <v>0</v>
      </c>
      <c r="D21" s="98">
        <v>0.313</v>
      </c>
      <c r="E21" s="98">
        <v>0</v>
      </c>
      <c r="F21" s="98">
        <v>1.488</v>
      </c>
      <c r="G21" s="98">
        <v>0</v>
      </c>
      <c r="H21" s="98">
        <v>1.097</v>
      </c>
      <c r="I21" s="98">
        <v>0</v>
      </c>
      <c r="J21" s="98">
        <v>0</v>
      </c>
      <c r="K21" s="98">
        <v>0</v>
      </c>
      <c r="L21" s="98">
        <v>0</v>
      </c>
    </row>
  </sheetData>
  <mergeCells count="2">
    <mergeCell ref="B1:L1"/>
    <mergeCell ref="B8:L8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71" zoomScaleNormal="71" workbookViewId="0">
      <selection activeCell="G4" sqref="G4:G14"/>
    </sheetView>
  </sheetViews>
  <sheetFormatPr baseColWidth="10" defaultColWidth="11.453125" defaultRowHeight="14.5" x14ac:dyDescent="0.35"/>
  <cols>
    <col min="1" max="1" width="27.7265625" style="2" customWidth="1"/>
    <col min="2" max="2" width="11" style="2" customWidth="1"/>
    <col min="3" max="3" width="12" style="2" customWidth="1"/>
    <col min="4" max="4" width="20.453125" style="2" customWidth="1"/>
    <col min="5" max="5" width="20.26953125" style="2" customWidth="1"/>
    <col min="6" max="6" width="22.453125" style="2" customWidth="1"/>
    <col min="7" max="7" width="16.453125" style="2" customWidth="1"/>
    <col min="8" max="8" width="17.7265625" style="2" customWidth="1"/>
    <col min="9" max="9" width="26.7265625" style="2" customWidth="1"/>
    <col min="10" max="10" width="18.54296875" style="2" customWidth="1"/>
    <col min="11" max="16384" width="11.453125" style="2"/>
  </cols>
  <sheetData>
    <row r="1" spans="1:10" ht="15.5" thickTop="1" thickBot="1" x14ac:dyDescent="0.4">
      <c r="A1" s="1" t="s">
        <v>8</v>
      </c>
      <c r="B1" s="28">
        <v>70.3</v>
      </c>
      <c r="C1" s="29"/>
    </row>
    <row r="2" spans="1:10" ht="15.5" thickTop="1" thickBot="1" x14ac:dyDescent="0.4"/>
    <row r="3" spans="1:10" ht="15.5" thickTop="1" thickBot="1" x14ac:dyDescent="0.4">
      <c r="A3" s="22" t="s">
        <v>2</v>
      </c>
      <c r="B3" s="22" t="s">
        <v>12</v>
      </c>
      <c r="C3" s="22" t="s">
        <v>0</v>
      </c>
      <c r="D3" s="22" t="s">
        <v>13</v>
      </c>
      <c r="E3" s="22" t="s">
        <v>9</v>
      </c>
      <c r="F3" s="22" t="s">
        <v>10</v>
      </c>
      <c r="G3" s="22" t="s">
        <v>1</v>
      </c>
      <c r="H3" s="22" t="s">
        <v>11</v>
      </c>
      <c r="I3" s="22" t="s">
        <v>15</v>
      </c>
      <c r="J3" s="22" t="s">
        <v>16</v>
      </c>
    </row>
    <row r="4" spans="1:10" ht="15.5" thickTop="1" thickBot="1" x14ac:dyDescent="0.4">
      <c r="A4" s="17" t="s">
        <v>34</v>
      </c>
      <c r="B4" s="13">
        <v>23</v>
      </c>
      <c r="C4" s="3">
        <v>180</v>
      </c>
      <c r="D4" s="3">
        <v>1022</v>
      </c>
      <c r="E4" s="79">
        <f>925841.671/D4</f>
        <v>905.91161545988257</v>
      </c>
      <c r="F4" s="80">
        <v>3650.8539999999998</v>
      </c>
      <c r="G4" s="106">
        <f>F4*100/(C4*B1*E4)</f>
        <v>3.1847900467931387E-2</v>
      </c>
      <c r="H4" s="80">
        <v>1.7116560000000001</v>
      </c>
      <c r="I4" s="79">
        <v>1749.3119999999999</v>
      </c>
      <c r="J4" s="79">
        <v>13.15272</v>
      </c>
    </row>
    <row r="5" spans="1:10" ht="15" thickBot="1" x14ac:dyDescent="0.4">
      <c r="A5" s="18"/>
      <c r="B5" s="13"/>
      <c r="C5" s="3"/>
      <c r="D5" s="4"/>
      <c r="E5" s="79"/>
      <c r="F5" s="79"/>
      <c r="G5" s="106"/>
      <c r="H5" s="80"/>
      <c r="I5" s="79"/>
      <c r="J5" s="79"/>
    </row>
    <row r="6" spans="1:10" ht="15" thickBot="1" x14ac:dyDescent="0.4">
      <c r="A6" s="19"/>
      <c r="B6" s="14"/>
      <c r="C6" s="5"/>
      <c r="D6" s="6"/>
      <c r="E6" s="68"/>
      <c r="F6" s="68"/>
      <c r="G6" s="107"/>
      <c r="H6" s="69"/>
      <c r="I6" s="68"/>
      <c r="J6" s="68"/>
    </row>
    <row r="7" spans="1:10" ht="15" thickBot="1" x14ac:dyDescent="0.4">
      <c r="A7" s="19"/>
      <c r="B7" s="14"/>
      <c r="C7" s="5"/>
      <c r="D7" s="6"/>
      <c r="E7" s="68"/>
      <c r="F7" s="68"/>
      <c r="G7" s="107"/>
      <c r="H7" s="69"/>
      <c r="I7" s="68"/>
      <c r="J7" s="68"/>
    </row>
    <row r="8" spans="1:10" ht="15" thickBot="1" x14ac:dyDescent="0.4">
      <c r="A8" s="20"/>
      <c r="B8" s="15"/>
      <c r="C8" s="7"/>
      <c r="D8" s="7"/>
      <c r="E8" s="70"/>
      <c r="F8" s="70"/>
      <c r="G8" s="108"/>
      <c r="H8" s="71"/>
      <c r="I8" s="70"/>
      <c r="J8" s="70"/>
    </row>
    <row r="9" spans="1:10" ht="15" thickBot="1" x14ac:dyDescent="0.4">
      <c r="A9" s="20"/>
      <c r="B9" s="15"/>
      <c r="C9" s="7"/>
      <c r="D9" s="7"/>
      <c r="E9" s="70"/>
      <c r="F9" s="70"/>
      <c r="G9" s="108"/>
      <c r="H9" s="71"/>
      <c r="I9" s="70"/>
      <c r="J9" s="70"/>
    </row>
    <row r="10" spans="1:10" ht="15" thickBot="1" x14ac:dyDescent="0.4">
      <c r="A10" s="21"/>
      <c r="B10" s="16"/>
      <c r="C10" s="10"/>
      <c r="D10" s="10"/>
      <c r="E10" s="72"/>
      <c r="F10" s="72"/>
      <c r="G10" s="109"/>
      <c r="H10" s="73"/>
      <c r="I10" s="72"/>
      <c r="J10" s="72"/>
    </row>
    <row r="11" spans="1:10" ht="15" thickBot="1" x14ac:dyDescent="0.4">
      <c r="E11" s="74"/>
      <c r="F11" s="74"/>
      <c r="G11" s="110"/>
      <c r="H11" s="74"/>
      <c r="I11" s="74"/>
      <c r="J11" s="74"/>
    </row>
    <row r="12" spans="1:10" ht="38.25" customHeight="1" thickTop="1" thickBot="1" x14ac:dyDescent="0.4">
      <c r="A12" s="22" t="s">
        <v>3</v>
      </c>
      <c r="B12" s="22" t="s">
        <v>12</v>
      </c>
      <c r="C12" s="27" t="s">
        <v>19</v>
      </c>
      <c r="D12" s="27" t="s">
        <v>14</v>
      </c>
      <c r="E12" s="81" t="s">
        <v>9</v>
      </c>
      <c r="F12" s="81" t="s">
        <v>10</v>
      </c>
      <c r="G12" s="111" t="s">
        <v>1</v>
      </c>
      <c r="H12" s="81" t="s">
        <v>11</v>
      </c>
      <c r="I12" s="82" t="s">
        <v>17</v>
      </c>
      <c r="J12" s="81" t="s">
        <v>18</v>
      </c>
    </row>
    <row r="13" spans="1:10" ht="15.5" thickTop="1" thickBot="1" x14ac:dyDescent="0.4">
      <c r="A13" s="26" t="s">
        <v>4</v>
      </c>
      <c r="B13" s="25"/>
      <c r="C13" s="23"/>
      <c r="D13" s="23"/>
      <c r="E13" s="66"/>
      <c r="F13" s="67"/>
      <c r="G13" s="112"/>
      <c r="H13" s="67"/>
      <c r="I13" s="66"/>
      <c r="J13" s="66"/>
    </row>
    <row r="14" spans="1:10" ht="15" thickBot="1" x14ac:dyDescent="0.4">
      <c r="A14" s="19" t="s">
        <v>29</v>
      </c>
      <c r="B14" s="14">
        <v>23</v>
      </c>
      <c r="C14" s="5">
        <v>180</v>
      </c>
      <c r="D14" s="6">
        <v>1022</v>
      </c>
      <c r="E14" s="68">
        <f>E4</f>
        <v>905.91161545988257</v>
      </c>
      <c r="F14" s="68">
        <v>3650.8539999999998</v>
      </c>
      <c r="G14" s="107">
        <v>3.2000000000000001E-2</v>
      </c>
      <c r="H14" s="69">
        <v>1.7116560000000001</v>
      </c>
      <c r="I14" s="68">
        <v>1749.3119999999999</v>
      </c>
      <c r="J14" s="68">
        <v>13.15272</v>
      </c>
    </row>
    <row r="15" spans="1:10" ht="15" thickBot="1" x14ac:dyDescent="0.4">
      <c r="A15" s="20" t="s">
        <v>31</v>
      </c>
      <c r="B15" s="15"/>
      <c r="C15" s="8"/>
      <c r="D15" s="7"/>
      <c r="E15" s="70"/>
      <c r="F15" s="70"/>
      <c r="G15" s="9"/>
      <c r="H15" s="71"/>
      <c r="I15" s="70"/>
      <c r="J15" s="70"/>
    </row>
    <row r="16" spans="1:10" ht="15" thickBot="1" x14ac:dyDescent="0.4">
      <c r="A16" s="21" t="s">
        <v>30</v>
      </c>
      <c r="B16" s="16"/>
      <c r="C16" s="11"/>
      <c r="D16" s="10"/>
      <c r="E16" s="10"/>
      <c r="F16" s="10"/>
      <c r="G16" s="12"/>
      <c r="H16" s="11"/>
      <c r="I16" s="10"/>
      <c r="J1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4" sqref="G4:G14"/>
    </sheetView>
  </sheetViews>
  <sheetFormatPr baseColWidth="10" defaultColWidth="11.453125" defaultRowHeight="14.5" x14ac:dyDescent="0.35"/>
  <cols>
    <col min="1" max="1" width="27.7265625" style="2" customWidth="1"/>
    <col min="2" max="2" width="11" style="2" customWidth="1"/>
    <col min="3" max="3" width="12" style="2" customWidth="1"/>
    <col min="4" max="4" width="20.453125" style="2" customWidth="1"/>
    <col min="5" max="5" width="20.26953125" style="2" customWidth="1"/>
    <col min="6" max="6" width="22.453125" style="2" customWidth="1"/>
    <col min="7" max="7" width="16.453125" style="2" customWidth="1"/>
    <col min="8" max="8" width="17.7265625" style="2" customWidth="1"/>
    <col min="9" max="9" width="26.7265625" style="2" customWidth="1"/>
    <col min="10" max="10" width="18.54296875" style="2" customWidth="1"/>
    <col min="11" max="16384" width="11.453125" style="2"/>
  </cols>
  <sheetData>
    <row r="1" spans="1:10" ht="15.5" thickTop="1" thickBot="1" x14ac:dyDescent="0.4">
      <c r="A1" s="1" t="s">
        <v>8</v>
      </c>
      <c r="B1" s="28">
        <v>73.7</v>
      </c>
      <c r="C1" s="29"/>
    </row>
    <row r="2" spans="1:10" ht="15.5" thickTop="1" thickBot="1" x14ac:dyDescent="0.4"/>
    <row r="3" spans="1:10" ht="15.5" thickTop="1" thickBot="1" x14ac:dyDescent="0.4">
      <c r="A3" s="22" t="s">
        <v>2</v>
      </c>
      <c r="B3" s="22" t="s">
        <v>12</v>
      </c>
      <c r="C3" s="22" t="s">
        <v>0</v>
      </c>
      <c r="D3" s="22" t="s">
        <v>13</v>
      </c>
      <c r="E3" s="22" t="s">
        <v>9</v>
      </c>
      <c r="F3" s="22" t="s">
        <v>10</v>
      </c>
      <c r="G3" s="22" t="s">
        <v>1</v>
      </c>
      <c r="H3" s="22" t="s">
        <v>11</v>
      </c>
      <c r="I3" s="22" t="s">
        <v>15</v>
      </c>
      <c r="J3" s="22" t="s">
        <v>16</v>
      </c>
    </row>
    <row r="4" spans="1:10" ht="15.5" thickTop="1" thickBot="1" x14ac:dyDescent="0.4">
      <c r="A4" s="17" t="s">
        <v>34</v>
      </c>
      <c r="B4" s="13">
        <v>30</v>
      </c>
      <c r="C4" s="3">
        <v>180</v>
      </c>
      <c r="D4" s="3">
        <v>900</v>
      </c>
      <c r="E4" s="79">
        <f>793977.189/D4</f>
        <v>882.19687666666664</v>
      </c>
      <c r="F4" s="80">
        <v>3584.2559999999999</v>
      </c>
      <c r="G4" s="106">
        <f>F4*100/(E4*C4*B1)</f>
        <v>3.0626228052272182E-2</v>
      </c>
      <c r="H4" s="79">
        <v>1.6832879999999999</v>
      </c>
      <c r="I4" s="79">
        <v>1514.9731200000001</v>
      </c>
      <c r="J4" s="79">
        <v>12.730866000000001</v>
      </c>
    </row>
    <row r="5" spans="1:10" ht="15" thickBot="1" x14ac:dyDescent="0.4">
      <c r="A5" s="18" t="s">
        <v>36</v>
      </c>
      <c r="B5" s="13">
        <v>1</v>
      </c>
      <c r="C5" s="3">
        <v>110</v>
      </c>
      <c r="D5" s="4">
        <v>4</v>
      </c>
      <c r="E5" s="79">
        <f>3389.34353/D5</f>
        <v>847.33588250000003</v>
      </c>
      <c r="F5" s="79">
        <v>678.10799999999995</v>
      </c>
      <c r="G5" s="106">
        <f>F5*100/(E5*C5*B1)</f>
        <v>9.8714987972157234E-3</v>
      </c>
      <c r="H5" s="80">
        <v>0.54833299999999996</v>
      </c>
      <c r="I5" s="79">
        <v>2.193333</v>
      </c>
      <c r="J5" s="79">
        <v>0.31333329999999998</v>
      </c>
    </row>
    <row r="6" spans="1:10" ht="15" thickBot="1" x14ac:dyDescent="0.4">
      <c r="A6" s="19" t="s">
        <v>35</v>
      </c>
      <c r="B6" s="14">
        <v>1</v>
      </c>
      <c r="C6" s="5">
        <v>144</v>
      </c>
      <c r="D6" s="6">
        <v>6</v>
      </c>
      <c r="E6" s="68">
        <f>3999.73701/D6</f>
        <v>666.62283500000001</v>
      </c>
      <c r="F6" s="68">
        <v>3228.5895999999998</v>
      </c>
      <c r="G6" s="107">
        <f>F6*100/(E6*C6*B1)</f>
        <v>4.5635485719866246E-2</v>
      </c>
      <c r="H6" s="69">
        <v>1.4684520000000001</v>
      </c>
      <c r="I6" s="68">
        <v>8.8107190000000006</v>
      </c>
      <c r="J6" s="68">
        <v>1.2586740000000001</v>
      </c>
    </row>
    <row r="7" spans="1:10" ht="15" thickBot="1" x14ac:dyDescent="0.4">
      <c r="A7" s="19" t="s">
        <v>37</v>
      </c>
      <c r="B7" s="14">
        <v>1</v>
      </c>
      <c r="C7" s="5">
        <v>177</v>
      </c>
      <c r="D7" s="6">
        <v>4</v>
      </c>
      <c r="E7" s="68">
        <f>4383.0324/D7</f>
        <v>1095.7581</v>
      </c>
      <c r="F7" s="68">
        <v>6209.8966499999997</v>
      </c>
      <c r="G7" s="107">
        <f>F7*100/(E7*C7*B1)</f>
        <v>4.3443912312352055E-2</v>
      </c>
      <c r="H7" s="69">
        <v>1.9251799999999999</v>
      </c>
      <c r="I7" s="68">
        <v>7.7</v>
      </c>
      <c r="J7" s="68">
        <v>1.1000000000000001</v>
      </c>
    </row>
    <row r="8" spans="1:10" ht="15" thickBot="1" x14ac:dyDescent="0.4">
      <c r="A8" s="20"/>
      <c r="B8" s="15"/>
      <c r="C8" s="7"/>
      <c r="D8" s="7"/>
      <c r="E8" s="70"/>
      <c r="F8" s="70"/>
      <c r="G8" s="108"/>
      <c r="H8" s="71"/>
      <c r="I8" s="70"/>
      <c r="J8" s="70"/>
    </row>
    <row r="9" spans="1:10" ht="15" thickBot="1" x14ac:dyDescent="0.4">
      <c r="A9" s="20"/>
      <c r="B9" s="15"/>
      <c r="C9" s="7"/>
      <c r="D9" s="7"/>
      <c r="E9" s="70"/>
      <c r="F9" s="70"/>
      <c r="G9" s="108"/>
      <c r="H9" s="71"/>
      <c r="I9" s="70"/>
      <c r="J9" s="70"/>
    </row>
    <row r="10" spans="1:10" ht="15" thickBot="1" x14ac:dyDescent="0.4">
      <c r="A10" s="21"/>
      <c r="B10" s="16"/>
      <c r="C10" s="10"/>
      <c r="D10" s="10"/>
      <c r="E10" s="72"/>
      <c r="F10" s="72"/>
      <c r="G10" s="109"/>
      <c r="H10" s="73"/>
      <c r="I10" s="72"/>
      <c r="J10" s="72"/>
    </row>
    <row r="11" spans="1:10" ht="15" thickBot="1" x14ac:dyDescent="0.4">
      <c r="E11" s="74"/>
      <c r="F11" s="74"/>
      <c r="G11" s="110"/>
      <c r="H11" s="74"/>
      <c r="I11" s="74"/>
      <c r="J11" s="74"/>
    </row>
    <row r="12" spans="1:10" ht="38.25" customHeight="1" thickTop="1" thickBot="1" x14ac:dyDescent="0.4">
      <c r="A12" s="22" t="s">
        <v>3</v>
      </c>
      <c r="B12" s="22" t="s">
        <v>12</v>
      </c>
      <c r="C12" s="27" t="s">
        <v>19</v>
      </c>
      <c r="D12" s="27" t="s">
        <v>14</v>
      </c>
      <c r="E12" s="81" t="s">
        <v>9</v>
      </c>
      <c r="F12" s="81" t="s">
        <v>10</v>
      </c>
      <c r="G12" s="111" t="s">
        <v>1</v>
      </c>
      <c r="H12" s="81" t="s">
        <v>11</v>
      </c>
      <c r="I12" s="82" t="s">
        <v>17</v>
      </c>
      <c r="J12" s="81" t="s">
        <v>18</v>
      </c>
    </row>
    <row r="13" spans="1:10" ht="15.5" thickTop="1" thickBot="1" x14ac:dyDescent="0.4">
      <c r="A13" s="26" t="s">
        <v>4</v>
      </c>
      <c r="B13" s="25"/>
      <c r="C13" s="23"/>
      <c r="D13" s="23"/>
      <c r="E13" s="66"/>
      <c r="F13" s="67"/>
      <c r="G13" s="112"/>
      <c r="H13" s="67"/>
      <c r="I13" s="66"/>
      <c r="J13" s="66"/>
    </row>
    <row r="14" spans="1:10" ht="15" thickBot="1" x14ac:dyDescent="0.4">
      <c r="A14" s="19" t="s">
        <v>29</v>
      </c>
      <c r="B14" s="14">
        <v>33</v>
      </c>
      <c r="C14" s="5">
        <f>(30*C4+110+144+177)/33</f>
        <v>176.69696969696969</v>
      </c>
      <c r="D14" s="6">
        <f>D4+D5+D6+D7</f>
        <v>914</v>
      </c>
      <c r="E14" s="68">
        <f>(900*E4+D5*E5+D6*E6+D7*E7)/914</f>
        <v>881.56378768052525</v>
      </c>
      <c r="F14" s="68">
        <v>3498.5864000000001</v>
      </c>
      <c r="G14" s="107">
        <v>3.1E-2</v>
      </c>
      <c r="H14" s="69">
        <v>1.6258600000000001</v>
      </c>
      <c r="I14" s="68">
        <v>1533.6874499999999</v>
      </c>
      <c r="J14" s="68">
        <v>10.4358</v>
      </c>
    </row>
    <row r="15" spans="1:10" ht="15" thickBot="1" x14ac:dyDescent="0.4">
      <c r="A15" s="20" t="s">
        <v>31</v>
      </c>
      <c r="B15" s="15"/>
      <c r="C15" s="8"/>
      <c r="D15" s="7"/>
      <c r="E15" s="7"/>
      <c r="F15" s="7"/>
      <c r="G15" s="9"/>
      <c r="H15" s="8"/>
      <c r="I15" s="7"/>
      <c r="J15" s="7"/>
    </row>
    <row r="16" spans="1:10" ht="15" thickBot="1" x14ac:dyDescent="0.4">
      <c r="A16" s="21" t="s">
        <v>30</v>
      </c>
      <c r="B16" s="16"/>
      <c r="C16" s="11"/>
      <c r="D16" s="10"/>
      <c r="E16" s="10"/>
      <c r="F16" s="10"/>
      <c r="G16" s="12"/>
      <c r="H16" s="11"/>
      <c r="I16" s="10"/>
      <c r="J16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4" sqref="G4:G14"/>
    </sheetView>
  </sheetViews>
  <sheetFormatPr baseColWidth="10" defaultColWidth="11.453125" defaultRowHeight="14.5" x14ac:dyDescent="0.35"/>
  <cols>
    <col min="1" max="1" width="27.7265625" style="2" customWidth="1"/>
    <col min="2" max="2" width="11" style="2" customWidth="1"/>
    <col min="3" max="3" width="12" style="2" customWidth="1"/>
    <col min="4" max="4" width="20.453125" style="2" customWidth="1"/>
    <col min="5" max="5" width="20.26953125" style="2" customWidth="1"/>
    <col min="6" max="6" width="22.453125" style="2" customWidth="1"/>
    <col min="7" max="7" width="16.453125" style="2" customWidth="1"/>
    <col min="8" max="8" width="17.7265625" style="2" customWidth="1"/>
    <col min="9" max="9" width="26.7265625" style="2" customWidth="1"/>
    <col min="10" max="10" width="18.54296875" style="2" customWidth="1"/>
    <col min="11" max="16384" width="11.453125" style="2"/>
  </cols>
  <sheetData>
    <row r="1" spans="1:10" ht="15.5" thickTop="1" thickBot="1" x14ac:dyDescent="0.4">
      <c r="A1" s="1" t="s">
        <v>8</v>
      </c>
      <c r="B1" s="28">
        <v>73</v>
      </c>
      <c r="C1" s="29"/>
    </row>
    <row r="2" spans="1:10" ht="15.5" thickTop="1" thickBot="1" x14ac:dyDescent="0.4"/>
    <row r="3" spans="1:10" ht="15.5" thickTop="1" thickBot="1" x14ac:dyDescent="0.4">
      <c r="A3" s="22" t="s">
        <v>2</v>
      </c>
      <c r="B3" s="22" t="s">
        <v>12</v>
      </c>
      <c r="C3" s="22" t="s">
        <v>0</v>
      </c>
      <c r="D3" s="22" t="s">
        <v>13</v>
      </c>
      <c r="E3" s="22" t="s">
        <v>9</v>
      </c>
      <c r="F3" s="22" t="s">
        <v>10</v>
      </c>
      <c r="G3" s="22" t="s">
        <v>1</v>
      </c>
      <c r="H3" s="22" t="s">
        <v>11</v>
      </c>
      <c r="I3" s="22" t="s">
        <v>15</v>
      </c>
      <c r="J3" s="22" t="s">
        <v>16</v>
      </c>
    </row>
    <row r="4" spans="1:10" ht="15.5" thickTop="1" thickBot="1" x14ac:dyDescent="0.4">
      <c r="A4" s="17" t="s">
        <v>34</v>
      </c>
      <c r="B4" s="13">
        <v>28</v>
      </c>
      <c r="C4" s="3">
        <v>180</v>
      </c>
      <c r="D4" s="3">
        <v>1719</v>
      </c>
      <c r="E4" s="79">
        <f>1515823.61/D4</f>
        <v>881.80547411285636</v>
      </c>
      <c r="F4" s="80">
        <v>3584.5385000000001</v>
      </c>
      <c r="G4" s="106">
        <f>F4*100/(E4*C4*B1)</f>
        <v>3.0936066566966673E-2</v>
      </c>
      <c r="H4" s="80">
        <v>1.6805479999999999</v>
      </c>
      <c r="I4" s="79">
        <v>2854.33</v>
      </c>
      <c r="J4" s="79">
        <v>11.658519999999999</v>
      </c>
    </row>
    <row r="5" spans="1:10" ht="15" thickBot="1" x14ac:dyDescent="0.4">
      <c r="A5" s="18" t="s">
        <v>35</v>
      </c>
      <c r="B5" s="13">
        <v>1</v>
      </c>
      <c r="C5" s="3">
        <v>144</v>
      </c>
      <c r="D5" s="4">
        <v>31</v>
      </c>
      <c r="E5" s="79">
        <f>26242.7117/D5</f>
        <v>846.53908709677421</v>
      </c>
      <c r="F5" s="79">
        <v>3793.2586000000001</v>
      </c>
      <c r="G5" s="106">
        <f>F5*100/(E5*C5*B1)</f>
        <v>4.262654010193704E-2</v>
      </c>
      <c r="H5" s="80">
        <v>1.6932240000000001</v>
      </c>
      <c r="I5" s="79">
        <v>52.489899999999999</v>
      </c>
      <c r="J5" s="79">
        <v>7.4985600000000003</v>
      </c>
    </row>
    <row r="6" spans="1:10" ht="15" thickBot="1" x14ac:dyDescent="0.4">
      <c r="A6" s="19" t="s">
        <v>39</v>
      </c>
      <c r="B6" s="14">
        <v>1</v>
      </c>
      <c r="C6" s="5">
        <v>189</v>
      </c>
      <c r="D6" s="6">
        <v>4</v>
      </c>
      <c r="E6" s="68">
        <f>5210.74769/D6</f>
        <v>1302.6869225</v>
      </c>
      <c r="F6" s="68">
        <v>4466.585</v>
      </c>
      <c r="G6" s="107">
        <f>F6*100/(E6*C6*B1)</f>
        <v>2.4851401476483424E-2</v>
      </c>
      <c r="H6" s="69">
        <v>1.9524600000000001</v>
      </c>
      <c r="I6" s="68">
        <v>7.8090000000000002</v>
      </c>
      <c r="J6" s="68">
        <v>1.1156900000000001</v>
      </c>
    </row>
    <row r="7" spans="1:10" ht="15" thickBot="1" x14ac:dyDescent="0.4">
      <c r="A7" s="19" t="s">
        <v>38</v>
      </c>
      <c r="B7" s="14">
        <v>1</v>
      </c>
      <c r="C7" s="5">
        <v>167</v>
      </c>
      <c r="D7" s="6">
        <v>4</v>
      </c>
      <c r="E7" s="68">
        <f>1883.20087/D7</f>
        <v>470.80021749999997</v>
      </c>
      <c r="F7" s="68">
        <v>985.24800000000005</v>
      </c>
      <c r="G7" s="107">
        <f>F7*100/(E7*C7*B1)</f>
        <v>1.7166018485643517E-2</v>
      </c>
      <c r="H7" s="69">
        <v>0.54832999999999998</v>
      </c>
      <c r="I7" s="68">
        <v>2.19333</v>
      </c>
      <c r="J7" s="68">
        <v>0.31333</v>
      </c>
    </row>
    <row r="8" spans="1:10" ht="15" thickBot="1" x14ac:dyDescent="0.4">
      <c r="A8" s="20"/>
      <c r="B8" s="15"/>
      <c r="C8" s="7"/>
      <c r="D8" s="7"/>
      <c r="E8" s="70"/>
      <c r="F8" s="70"/>
      <c r="G8" s="108"/>
      <c r="H8" s="71"/>
      <c r="I8" s="70"/>
      <c r="J8" s="70"/>
    </row>
    <row r="9" spans="1:10" ht="15" thickBot="1" x14ac:dyDescent="0.4">
      <c r="A9" s="20"/>
      <c r="B9" s="15"/>
      <c r="C9" s="7"/>
      <c r="D9" s="7"/>
      <c r="E9" s="70"/>
      <c r="F9" s="70"/>
      <c r="G9" s="108"/>
      <c r="H9" s="71"/>
      <c r="I9" s="70"/>
      <c r="J9" s="70"/>
    </row>
    <row r="10" spans="1:10" ht="15" thickBot="1" x14ac:dyDescent="0.4">
      <c r="A10" s="21"/>
      <c r="B10" s="16"/>
      <c r="C10" s="10"/>
      <c r="D10" s="10"/>
      <c r="E10" s="72"/>
      <c r="F10" s="72"/>
      <c r="G10" s="109"/>
      <c r="H10" s="73"/>
      <c r="I10" s="72"/>
      <c r="J10" s="72"/>
    </row>
    <row r="11" spans="1:10" ht="15" thickBot="1" x14ac:dyDescent="0.4">
      <c r="E11" s="74"/>
      <c r="F11" s="74"/>
      <c r="G11" s="110"/>
      <c r="H11" s="74"/>
      <c r="I11" s="74"/>
      <c r="J11" s="74"/>
    </row>
    <row r="12" spans="1:10" ht="38.25" customHeight="1" thickTop="1" thickBot="1" x14ac:dyDescent="0.4">
      <c r="A12" s="22" t="s">
        <v>3</v>
      </c>
      <c r="B12" s="22" t="s">
        <v>12</v>
      </c>
      <c r="C12" s="27" t="s">
        <v>19</v>
      </c>
      <c r="D12" s="27" t="s">
        <v>14</v>
      </c>
      <c r="E12" s="81" t="s">
        <v>9</v>
      </c>
      <c r="F12" s="81" t="s">
        <v>10</v>
      </c>
      <c r="G12" s="111" t="s">
        <v>1</v>
      </c>
      <c r="H12" s="81" t="s">
        <v>11</v>
      </c>
      <c r="I12" s="82" t="s">
        <v>17</v>
      </c>
      <c r="J12" s="81" t="s">
        <v>18</v>
      </c>
    </row>
    <row r="13" spans="1:10" ht="15.5" thickTop="1" thickBot="1" x14ac:dyDescent="0.4">
      <c r="A13" s="26" t="s">
        <v>4</v>
      </c>
      <c r="B13" s="25"/>
      <c r="C13" s="23"/>
      <c r="D13" s="23"/>
      <c r="E13" s="66"/>
      <c r="F13" s="67"/>
      <c r="G13" s="112"/>
      <c r="H13" s="67"/>
      <c r="I13" s="66"/>
      <c r="J13" s="66"/>
    </row>
    <row r="14" spans="1:10" ht="15" thickBot="1" x14ac:dyDescent="0.4">
      <c r="A14" s="19" t="s">
        <v>29</v>
      </c>
      <c r="B14" s="14">
        <f>31</f>
        <v>31</v>
      </c>
      <c r="C14" s="69">
        <f>(C4*B4+C5*B5+C6+C7)/31</f>
        <v>178.70967741935485</v>
      </c>
      <c r="D14" s="6">
        <f>SUM(D4:D7)</f>
        <v>1758</v>
      </c>
      <c r="E14" s="68">
        <f>(D4*E4+E5*D5+E6*D6+E7*D7)/D14</f>
        <v>881.20606954493769</v>
      </c>
      <c r="F14" s="68">
        <v>3605.6995000000002</v>
      </c>
      <c r="G14" s="107">
        <v>3.1E-2</v>
      </c>
      <c r="H14" s="69">
        <v>1.69459</v>
      </c>
      <c r="I14" s="68">
        <v>2916.5966899999999</v>
      </c>
      <c r="J14" s="68">
        <v>10.964665999999999</v>
      </c>
    </row>
    <row r="15" spans="1:10" ht="15" thickBot="1" x14ac:dyDescent="0.4">
      <c r="A15" s="20" t="s">
        <v>31</v>
      </c>
      <c r="B15" s="15"/>
      <c r="C15" s="8"/>
      <c r="D15" s="7"/>
      <c r="E15" s="70"/>
      <c r="F15" s="70"/>
      <c r="G15" s="9"/>
      <c r="H15" s="8"/>
      <c r="I15" s="7"/>
      <c r="J15" s="7"/>
    </row>
    <row r="16" spans="1:10" ht="15" thickBot="1" x14ac:dyDescent="0.4">
      <c r="A16" s="21" t="s">
        <v>30</v>
      </c>
      <c r="B16" s="16"/>
      <c r="C16" s="11"/>
      <c r="D16" s="10"/>
      <c r="E16" s="10"/>
      <c r="F16" s="10"/>
      <c r="G16" s="12"/>
      <c r="H16" s="11"/>
      <c r="I16" s="10"/>
      <c r="J16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4" sqref="G4:G15"/>
    </sheetView>
  </sheetViews>
  <sheetFormatPr baseColWidth="10" defaultColWidth="11.453125" defaultRowHeight="14.5" x14ac:dyDescent="0.35"/>
  <cols>
    <col min="1" max="1" width="27.7265625" style="2" customWidth="1"/>
    <col min="2" max="2" width="11" style="2" customWidth="1"/>
    <col min="3" max="3" width="12" style="2" customWidth="1"/>
    <col min="4" max="4" width="20.453125" style="2" customWidth="1"/>
    <col min="5" max="5" width="20.26953125" style="2" customWidth="1"/>
    <col min="6" max="6" width="22.453125" style="2" customWidth="1"/>
    <col min="7" max="7" width="16.453125" style="2" customWidth="1"/>
    <col min="8" max="8" width="17.7265625" style="2" customWidth="1"/>
    <col min="9" max="9" width="26.7265625" style="2" customWidth="1"/>
    <col min="10" max="10" width="18.54296875" style="2" customWidth="1"/>
    <col min="11" max="16384" width="11.453125" style="2"/>
  </cols>
  <sheetData>
    <row r="1" spans="1:10" ht="15.5" thickTop="1" thickBot="1" x14ac:dyDescent="0.4">
      <c r="A1" s="1" t="s">
        <v>8</v>
      </c>
      <c r="B1" s="28">
        <v>75.599999999999994</v>
      </c>
      <c r="C1" s="29"/>
    </row>
    <row r="2" spans="1:10" ht="15.5" thickTop="1" thickBot="1" x14ac:dyDescent="0.4"/>
    <row r="3" spans="1:10" ht="15.5" thickTop="1" thickBot="1" x14ac:dyDescent="0.4">
      <c r="A3" s="22" t="s">
        <v>2</v>
      </c>
      <c r="B3" s="22" t="s">
        <v>12</v>
      </c>
      <c r="C3" s="22" t="s">
        <v>0</v>
      </c>
      <c r="D3" s="22" t="s">
        <v>13</v>
      </c>
      <c r="E3" s="22" t="s">
        <v>9</v>
      </c>
      <c r="F3" s="22" t="s">
        <v>10</v>
      </c>
      <c r="G3" s="22" t="s">
        <v>1</v>
      </c>
      <c r="H3" s="22" t="s">
        <v>11</v>
      </c>
      <c r="I3" s="22" t="s">
        <v>15</v>
      </c>
      <c r="J3" s="22" t="s">
        <v>16</v>
      </c>
    </row>
    <row r="4" spans="1:10" ht="15.5" thickTop="1" thickBot="1" x14ac:dyDescent="0.4">
      <c r="A4" s="17" t="s">
        <v>40</v>
      </c>
      <c r="B4" s="13">
        <v>1</v>
      </c>
      <c r="C4" s="3">
        <v>144</v>
      </c>
      <c r="D4" s="3">
        <v>50</v>
      </c>
      <c r="E4" s="79">
        <f>41548.7624/D4</f>
        <v>830.97524799999997</v>
      </c>
      <c r="F4" s="80">
        <v>3208.1995000000002</v>
      </c>
      <c r="G4" s="106">
        <f>F4*100/(E4*C4*B1)</f>
        <v>3.5464103962388999E-2</v>
      </c>
      <c r="H4" s="80">
        <v>1.6217900000000001</v>
      </c>
      <c r="I4" s="79">
        <v>81.089500000000001</v>
      </c>
      <c r="J4" s="79">
        <v>11.58422</v>
      </c>
    </row>
    <row r="5" spans="1:10" ht="15" thickBot="1" x14ac:dyDescent="0.4">
      <c r="A5" s="18" t="s">
        <v>34</v>
      </c>
      <c r="B5" s="13">
        <v>39</v>
      </c>
      <c r="C5" s="3">
        <v>180</v>
      </c>
      <c r="D5" s="4">
        <v>1979</v>
      </c>
      <c r="E5" s="79">
        <f>1682774.85/D5</f>
        <v>850.31574027286513</v>
      </c>
      <c r="F5" s="79">
        <v>3502.0358000000001</v>
      </c>
      <c r="G5" s="106">
        <f>F5*100/(E5*C5*B1)</f>
        <v>3.0265375210219502E-2</v>
      </c>
      <c r="H5" s="80">
        <v>1.64436</v>
      </c>
      <c r="I5" s="79">
        <v>3254.1885000000002</v>
      </c>
      <c r="J5" s="79">
        <v>10.106</v>
      </c>
    </row>
    <row r="6" spans="1:10" ht="15" thickBot="1" x14ac:dyDescent="0.4">
      <c r="A6" s="19"/>
      <c r="B6" s="14"/>
      <c r="C6" s="5"/>
      <c r="D6" s="6"/>
      <c r="E6" s="68"/>
      <c r="F6" s="68"/>
      <c r="G6" s="107"/>
      <c r="H6" s="69"/>
      <c r="I6" s="68"/>
      <c r="J6" s="68"/>
    </row>
    <row r="7" spans="1:10" ht="15" thickBot="1" x14ac:dyDescent="0.4">
      <c r="A7" s="19"/>
      <c r="B7" s="14"/>
      <c r="C7" s="5"/>
      <c r="D7" s="6"/>
      <c r="E7" s="68"/>
      <c r="F7" s="68"/>
      <c r="G7" s="107"/>
      <c r="H7" s="69"/>
      <c r="I7" s="68"/>
      <c r="J7" s="68"/>
    </row>
    <row r="8" spans="1:10" ht="15" thickBot="1" x14ac:dyDescent="0.4">
      <c r="A8" s="20"/>
      <c r="B8" s="15"/>
      <c r="C8" s="7"/>
      <c r="D8" s="7"/>
      <c r="E8" s="70"/>
      <c r="F8" s="70"/>
      <c r="G8" s="108"/>
      <c r="H8" s="71"/>
      <c r="I8" s="70"/>
      <c r="J8" s="70"/>
    </row>
    <row r="9" spans="1:10" ht="15" thickBot="1" x14ac:dyDescent="0.4">
      <c r="A9" s="20"/>
      <c r="B9" s="15"/>
      <c r="C9" s="7"/>
      <c r="D9" s="7"/>
      <c r="E9" s="70"/>
      <c r="F9" s="70"/>
      <c r="G9" s="108"/>
      <c r="H9" s="71"/>
      <c r="I9" s="70"/>
      <c r="J9" s="70"/>
    </row>
    <row r="10" spans="1:10" ht="15" thickBot="1" x14ac:dyDescent="0.4">
      <c r="A10" s="21"/>
      <c r="B10" s="16"/>
      <c r="C10" s="10"/>
      <c r="D10" s="10"/>
      <c r="E10" s="72"/>
      <c r="F10" s="72"/>
      <c r="G10" s="109"/>
      <c r="H10" s="73"/>
      <c r="I10" s="72"/>
      <c r="J10" s="72"/>
    </row>
    <row r="11" spans="1:10" ht="15" thickBot="1" x14ac:dyDescent="0.4">
      <c r="E11" s="74"/>
      <c r="F11" s="74"/>
      <c r="G11" s="110"/>
      <c r="H11" s="74"/>
      <c r="I11" s="74"/>
      <c r="J11" s="74"/>
    </row>
    <row r="12" spans="1:10" ht="38.25" customHeight="1" thickTop="1" thickBot="1" x14ac:dyDescent="0.4">
      <c r="A12" s="22" t="s">
        <v>3</v>
      </c>
      <c r="B12" s="22" t="s">
        <v>12</v>
      </c>
      <c r="C12" s="27" t="s">
        <v>19</v>
      </c>
      <c r="D12" s="27" t="s">
        <v>14</v>
      </c>
      <c r="E12" s="81" t="s">
        <v>9</v>
      </c>
      <c r="F12" s="81" t="s">
        <v>10</v>
      </c>
      <c r="G12" s="111" t="s">
        <v>1</v>
      </c>
      <c r="H12" s="81" t="s">
        <v>11</v>
      </c>
      <c r="I12" s="82" t="s">
        <v>17</v>
      </c>
      <c r="J12" s="81" t="s">
        <v>18</v>
      </c>
    </row>
    <row r="13" spans="1:10" ht="15.5" thickTop="1" thickBot="1" x14ac:dyDescent="0.4">
      <c r="A13" s="26" t="s">
        <v>4</v>
      </c>
      <c r="B13" s="25"/>
      <c r="C13" s="23"/>
      <c r="D13" s="23"/>
      <c r="E13" s="66"/>
      <c r="F13" s="67"/>
      <c r="G13" s="112"/>
      <c r="H13" s="67"/>
      <c r="I13" s="66"/>
      <c r="J13" s="66"/>
    </row>
    <row r="14" spans="1:10" ht="15" thickBot="1" x14ac:dyDescent="0.4">
      <c r="A14" s="19" t="s">
        <v>29</v>
      </c>
      <c r="B14" s="14">
        <v>40</v>
      </c>
      <c r="C14" s="5">
        <f>(44+180*39)/40</f>
        <v>176.6</v>
      </c>
      <c r="D14" s="6">
        <f>50+1979</f>
        <v>2029</v>
      </c>
      <c r="E14" s="68">
        <f>(D4*E4+D5*E5)/D14</f>
        <v>849.83913868900936</v>
      </c>
      <c r="F14" s="68">
        <v>3501.8560000000002</v>
      </c>
      <c r="G14" s="107">
        <v>0.03</v>
      </c>
      <c r="H14" s="69">
        <v>1.64425</v>
      </c>
      <c r="I14" s="68">
        <v>3335.6985</v>
      </c>
      <c r="J14" s="68">
        <v>10.136778</v>
      </c>
    </row>
    <row r="15" spans="1:10" ht="15" thickBot="1" x14ac:dyDescent="0.4">
      <c r="A15" s="20" t="s">
        <v>31</v>
      </c>
      <c r="B15" s="15"/>
      <c r="C15" s="8"/>
      <c r="D15" s="7"/>
      <c r="E15" s="7"/>
      <c r="F15" s="7"/>
      <c r="G15" s="108"/>
      <c r="H15" s="8"/>
      <c r="I15" s="7"/>
      <c r="J15" s="7"/>
    </row>
    <row r="16" spans="1:10" ht="15" thickBot="1" x14ac:dyDescent="0.4">
      <c r="A16" s="21" t="s">
        <v>30</v>
      </c>
      <c r="B16" s="16"/>
      <c r="C16" s="11"/>
      <c r="D16" s="10"/>
      <c r="E16" s="10"/>
      <c r="F16" s="10"/>
      <c r="G16" s="12"/>
      <c r="H16" s="11"/>
      <c r="I16" s="10"/>
      <c r="J16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4" sqref="G4:G14"/>
    </sheetView>
  </sheetViews>
  <sheetFormatPr baseColWidth="10" defaultColWidth="11.453125" defaultRowHeight="14.5" x14ac:dyDescent="0.35"/>
  <cols>
    <col min="1" max="1" width="27.7265625" style="2" customWidth="1"/>
    <col min="2" max="2" width="11" style="2" customWidth="1"/>
    <col min="3" max="3" width="12" style="2" customWidth="1"/>
    <col min="4" max="4" width="20.453125" style="2" customWidth="1"/>
    <col min="5" max="5" width="20.26953125" style="2" customWidth="1"/>
    <col min="6" max="6" width="22.453125" style="2" customWidth="1"/>
    <col min="7" max="7" width="16.453125" style="2" customWidth="1"/>
    <col min="8" max="8" width="17.7265625" style="2" customWidth="1"/>
    <col min="9" max="9" width="26.7265625" style="2" customWidth="1"/>
    <col min="10" max="10" width="18.54296875" style="2" customWidth="1"/>
    <col min="11" max="16384" width="11.453125" style="2"/>
  </cols>
  <sheetData>
    <row r="1" spans="1:10" ht="15.5" thickTop="1" thickBot="1" x14ac:dyDescent="0.4">
      <c r="A1" s="1" t="s">
        <v>8</v>
      </c>
      <c r="B1" s="28">
        <v>77.7</v>
      </c>
      <c r="C1" s="29"/>
    </row>
    <row r="2" spans="1:10" ht="15.5" thickTop="1" thickBot="1" x14ac:dyDescent="0.4"/>
    <row r="3" spans="1:10" ht="15.5" thickTop="1" thickBot="1" x14ac:dyDescent="0.4">
      <c r="A3" s="22" t="s">
        <v>2</v>
      </c>
      <c r="B3" s="22" t="s">
        <v>12</v>
      </c>
      <c r="C3" s="22" t="s">
        <v>0</v>
      </c>
      <c r="D3" s="22" t="s">
        <v>13</v>
      </c>
      <c r="E3" s="22" t="s">
        <v>9</v>
      </c>
      <c r="F3" s="22" t="s">
        <v>10</v>
      </c>
      <c r="G3" s="22" t="s">
        <v>1</v>
      </c>
      <c r="H3" s="22" t="s">
        <v>11</v>
      </c>
      <c r="I3" s="22" t="s">
        <v>15</v>
      </c>
      <c r="J3" s="22" t="s">
        <v>16</v>
      </c>
    </row>
    <row r="4" spans="1:10" ht="15.5" thickTop="1" thickBot="1" x14ac:dyDescent="0.4">
      <c r="A4" s="17" t="s">
        <v>40</v>
      </c>
      <c r="B4" s="13">
        <v>3</v>
      </c>
      <c r="C4" s="3">
        <v>144</v>
      </c>
      <c r="D4" s="3">
        <v>128</v>
      </c>
      <c r="E4" s="79">
        <f>98531.4683/D4</f>
        <v>769.77709609374995</v>
      </c>
      <c r="F4" s="80">
        <v>3052.6596</v>
      </c>
      <c r="G4" s="106">
        <f>F4*100/(E4*C4*B1)</f>
        <v>3.5442951728002159E-2</v>
      </c>
      <c r="H4" s="80">
        <v>1.5486</v>
      </c>
      <c r="I4" s="79">
        <v>198.22399999999999</v>
      </c>
      <c r="J4" s="79">
        <v>9.4392499999999995</v>
      </c>
    </row>
    <row r="5" spans="1:10" ht="15" thickBot="1" x14ac:dyDescent="0.4">
      <c r="A5" s="18" t="s">
        <v>34</v>
      </c>
      <c r="B5" s="13">
        <v>51</v>
      </c>
      <c r="C5" s="3">
        <v>180</v>
      </c>
      <c r="D5" s="4">
        <v>1408</v>
      </c>
      <c r="E5" s="79">
        <f>2188773.95/D5</f>
        <v>1554.5269531250001</v>
      </c>
      <c r="F5" s="79">
        <v>3658.5846000000001</v>
      </c>
      <c r="G5" s="106">
        <f>F5*100/(E5*C5*B1)</f>
        <v>1.6827566737469494E-2</v>
      </c>
      <c r="H5" s="80">
        <v>1.7154499999999999</v>
      </c>
      <c r="I5" s="79">
        <v>4130.7939999999999</v>
      </c>
      <c r="J5" s="79">
        <v>10.928000000000001</v>
      </c>
    </row>
    <row r="6" spans="1:10" ht="15" thickBot="1" x14ac:dyDescent="0.4">
      <c r="A6" s="19" t="s">
        <v>38</v>
      </c>
      <c r="B6" s="14">
        <v>1</v>
      </c>
      <c r="C6" s="5">
        <v>167</v>
      </c>
      <c r="D6" s="6">
        <v>19</v>
      </c>
      <c r="E6" s="68">
        <f>16655.011/D6</f>
        <v>876.57952631578939</v>
      </c>
      <c r="F6" s="68">
        <v>985.24800000000005</v>
      </c>
      <c r="G6" s="107">
        <f>F6*100/(E6*C6*B1)</f>
        <v>8.6619714725763765E-3</v>
      </c>
      <c r="H6" s="69">
        <v>0.54832999999999998</v>
      </c>
      <c r="I6" s="68">
        <v>10.418328000000001</v>
      </c>
      <c r="J6" s="68">
        <v>1.4883325000000001</v>
      </c>
    </row>
    <row r="7" spans="1:10" ht="15" thickBot="1" x14ac:dyDescent="0.4">
      <c r="A7" s="19"/>
      <c r="B7" s="14"/>
      <c r="C7" s="5"/>
      <c r="D7" s="6"/>
      <c r="E7" s="68"/>
      <c r="F7" s="68"/>
      <c r="G7" s="107"/>
      <c r="H7" s="69"/>
      <c r="I7" s="68"/>
      <c r="J7" s="68"/>
    </row>
    <row r="8" spans="1:10" ht="15" thickBot="1" x14ac:dyDescent="0.4">
      <c r="A8" s="20"/>
      <c r="B8" s="15"/>
      <c r="C8" s="7"/>
      <c r="D8" s="7"/>
      <c r="E8" s="70"/>
      <c r="F8" s="70"/>
      <c r="G8" s="108"/>
      <c r="H8" s="71"/>
      <c r="I8" s="70"/>
      <c r="J8" s="70"/>
    </row>
    <row r="9" spans="1:10" ht="15" thickBot="1" x14ac:dyDescent="0.4">
      <c r="A9" s="20"/>
      <c r="B9" s="15"/>
      <c r="C9" s="7"/>
      <c r="D9" s="7"/>
      <c r="E9" s="70"/>
      <c r="F9" s="70"/>
      <c r="G9" s="108"/>
      <c r="H9" s="71"/>
      <c r="I9" s="70"/>
      <c r="J9" s="70"/>
    </row>
    <row r="10" spans="1:10" ht="15" thickBot="1" x14ac:dyDescent="0.4">
      <c r="A10" s="21"/>
      <c r="B10" s="16"/>
      <c r="C10" s="10"/>
      <c r="D10" s="10"/>
      <c r="E10" s="72"/>
      <c r="F10" s="72"/>
      <c r="G10" s="109"/>
      <c r="H10" s="73"/>
      <c r="I10" s="72"/>
      <c r="J10" s="72"/>
    </row>
    <row r="11" spans="1:10" ht="15" thickBot="1" x14ac:dyDescent="0.4">
      <c r="E11" s="74"/>
      <c r="F11" s="74"/>
      <c r="G11" s="110"/>
      <c r="H11" s="74"/>
      <c r="I11" s="74"/>
      <c r="J11" s="74"/>
    </row>
    <row r="12" spans="1:10" ht="38.25" customHeight="1" thickTop="1" thickBot="1" x14ac:dyDescent="0.4">
      <c r="A12" s="22" t="s">
        <v>3</v>
      </c>
      <c r="B12" s="22" t="s">
        <v>12</v>
      </c>
      <c r="C12" s="27" t="s">
        <v>19</v>
      </c>
      <c r="D12" s="27" t="s">
        <v>14</v>
      </c>
      <c r="E12" s="81" t="s">
        <v>9</v>
      </c>
      <c r="F12" s="81" t="s">
        <v>10</v>
      </c>
      <c r="G12" s="111" t="s">
        <v>1</v>
      </c>
      <c r="H12" s="81" t="s">
        <v>11</v>
      </c>
      <c r="I12" s="82" t="s">
        <v>17</v>
      </c>
      <c r="J12" s="81" t="s">
        <v>18</v>
      </c>
    </row>
    <row r="13" spans="1:10" ht="15.5" thickTop="1" thickBot="1" x14ac:dyDescent="0.4">
      <c r="A13" s="26" t="s">
        <v>4</v>
      </c>
      <c r="B13" s="25"/>
      <c r="C13" s="23"/>
      <c r="D13" s="23"/>
      <c r="E13" s="66"/>
      <c r="F13" s="67"/>
      <c r="G13" s="112"/>
      <c r="H13" s="67"/>
      <c r="I13" s="66"/>
      <c r="J13" s="66"/>
    </row>
    <row r="14" spans="1:10" ht="15" thickBot="1" x14ac:dyDescent="0.4">
      <c r="A14" s="19" t="s">
        <v>29</v>
      </c>
      <c r="B14" s="14">
        <f>B4+B5+B6</f>
        <v>55</v>
      </c>
      <c r="C14" s="5">
        <f>(B4*C4+B5*C5+B6*C6)/(B14)</f>
        <v>177.8</v>
      </c>
      <c r="D14" s="6">
        <f>SUM(D4:D6)</f>
        <v>1555</v>
      </c>
      <c r="E14" s="68">
        <f>(E4*D4+E5*D5+E6*D6)/D14</f>
        <v>1481.6465783279743</v>
      </c>
      <c r="F14" s="68">
        <v>3652.2150000000001</v>
      </c>
      <c r="G14" s="107">
        <v>1.7999999999999999E-2</v>
      </c>
      <c r="H14" s="69">
        <v>1.7085399999999999</v>
      </c>
      <c r="I14" s="68">
        <v>4339.4319999999998</v>
      </c>
      <c r="J14" s="68">
        <v>10.688000000000001</v>
      </c>
    </row>
    <row r="15" spans="1:10" ht="15" thickBot="1" x14ac:dyDescent="0.4">
      <c r="A15" s="20" t="s">
        <v>31</v>
      </c>
      <c r="B15" s="15"/>
      <c r="C15" s="8"/>
      <c r="D15" s="7"/>
      <c r="E15" s="7"/>
      <c r="F15" s="7"/>
      <c r="G15" s="9"/>
      <c r="H15" s="8"/>
      <c r="I15" s="7"/>
      <c r="J15" s="7"/>
    </row>
    <row r="16" spans="1:10" ht="15" thickBot="1" x14ac:dyDescent="0.4">
      <c r="A16" s="21" t="s">
        <v>30</v>
      </c>
      <c r="B16" s="16"/>
      <c r="C16" s="11"/>
      <c r="D16" s="10"/>
      <c r="E16" s="10"/>
      <c r="F16" s="10"/>
      <c r="G16" s="12"/>
      <c r="H16" s="11"/>
      <c r="I16" s="10"/>
      <c r="J16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4" sqref="G4:G15"/>
    </sheetView>
  </sheetViews>
  <sheetFormatPr baseColWidth="10" defaultColWidth="11.453125" defaultRowHeight="14.5" x14ac:dyDescent="0.35"/>
  <cols>
    <col min="1" max="1" width="27.7265625" style="2" customWidth="1"/>
    <col min="2" max="2" width="11" style="2" customWidth="1"/>
    <col min="3" max="3" width="12" style="2" customWidth="1"/>
    <col min="4" max="4" width="20.453125" style="2" customWidth="1"/>
    <col min="5" max="5" width="20.26953125" style="2" customWidth="1"/>
    <col min="6" max="6" width="22.453125" style="2" customWidth="1"/>
    <col min="7" max="7" width="16.453125" style="2" customWidth="1"/>
    <col min="8" max="8" width="17.7265625" style="2" customWidth="1"/>
    <col min="9" max="9" width="26.7265625" style="2" customWidth="1"/>
    <col min="10" max="10" width="18.54296875" style="2" customWidth="1"/>
    <col min="11" max="16384" width="11.453125" style="2"/>
  </cols>
  <sheetData>
    <row r="1" spans="1:10" ht="15.5" thickTop="1" thickBot="1" x14ac:dyDescent="0.4">
      <c r="A1" s="1" t="s">
        <v>8</v>
      </c>
      <c r="B1" s="28">
        <v>79.599999999999994</v>
      </c>
      <c r="C1" s="29"/>
    </row>
    <row r="2" spans="1:10" ht="15.5" thickTop="1" thickBot="1" x14ac:dyDescent="0.4"/>
    <row r="3" spans="1:10" ht="15.5" thickTop="1" thickBot="1" x14ac:dyDescent="0.4">
      <c r="A3" s="22" t="s">
        <v>2</v>
      </c>
      <c r="B3" s="22" t="s">
        <v>12</v>
      </c>
      <c r="C3" s="22" t="s">
        <v>0</v>
      </c>
      <c r="D3" s="22" t="s">
        <v>13</v>
      </c>
      <c r="E3" s="22" t="s">
        <v>9</v>
      </c>
      <c r="F3" s="22" t="s">
        <v>10</v>
      </c>
      <c r="G3" s="22" t="s">
        <v>1</v>
      </c>
      <c r="H3" s="22" t="s">
        <v>11</v>
      </c>
      <c r="I3" s="22" t="s">
        <v>15</v>
      </c>
      <c r="J3" s="22" t="s">
        <v>16</v>
      </c>
    </row>
    <row r="4" spans="1:10" ht="15.5" thickTop="1" thickBot="1" x14ac:dyDescent="0.4">
      <c r="A4" s="17" t="s">
        <v>40</v>
      </c>
      <c r="B4" s="13">
        <v>4</v>
      </c>
      <c r="C4" s="3">
        <v>144</v>
      </c>
      <c r="D4" s="3">
        <f>149-2+1</f>
        <v>148</v>
      </c>
      <c r="E4" s="79">
        <f>126934.982/D4</f>
        <v>857.66879729729737</v>
      </c>
      <c r="F4" s="80">
        <v>3283.25</v>
      </c>
      <c r="G4" s="106">
        <f>F4*100/(E4*C4*B1)</f>
        <v>3.3397101980958542E-2</v>
      </c>
      <c r="H4" s="80">
        <v>1.653864</v>
      </c>
      <c r="I4" s="79">
        <v>144.77269999999999</v>
      </c>
      <c r="J4" s="79">
        <v>6.3854499999999996</v>
      </c>
    </row>
    <row r="5" spans="1:10" ht="15" thickBot="1" x14ac:dyDescent="0.4">
      <c r="A5" s="18" t="s">
        <v>34</v>
      </c>
      <c r="B5" s="13">
        <v>59</v>
      </c>
      <c r="C5" s="3">
        <v>180</v>
      </c>
      <c r="D5" s="4">
        <f>2655-150</f>
        <v>2505</v>
      </c>
      <c r="E5" s="79">
        <f>2487916.58/D5</f>
        <v>993.18027145708584</v>
      </c>
      <c r="F5" s="79">
        <v>3879.3150000000001</v>
      </c>
      <c r="G5" s="106">
        <f>F5*100/(E5*C5*B1)</f>
        <v>2.7260975265194075E-2</v>
      </c>
      <c r="H5" s="80">
        <v>1.8176000000000001</v>
      </c>
      <c r="I5" s="79">
        <v>4481.3360000000002</v>
      </c>
      <c r="J5" s="79">
        <v>10.002000000000001</v>
      </c>
    </row>
    <row r="6" spans="1:10" ht="15" thickBot="1" x14ac:dyDescent="0.4">
      <c r="A6" s="19"/>
      <c r="B6" s="14"/>
      <c r="C6" s="5"/>
      <c r="D6" s="6"/>
      <c r="E6" s="68"/>
      <c r="F6" s="68"/>
      <c r="G6" s="107"/>
      <c r="H6" s="69"/>
      <c r="I6" s="68"/>
      <c r="J6" s="68"/>
    </row>
    <row r="7" spans="1:10" ht="15" thickBot="1" x14ac:dyDescent="0.4">
      <c r="A7" s="19"/>
      <c r="B7" s="14"/>
      <c r="C7" s="5"/>
      <c r="D7" s="6"/>
      <c r="E7" s="68"/>
      <c r="F7" s="68"/>
      <c r="G7" s="107"/>
      <c r="H7" s="69"/>
      <c r="I7" s="68"/>
      <c r="J7" s="68"/>
    </row>
    <row r="8" spans="1:10" ht="15" thickBot="1" x14ac:dyDescent="0.4">
      <c r="A8" s="20"/>
      <c r="B8" s="15"/>
      <c r="C8" s="7"/>
      <c r="D8" s="7"/>
      <c r="E8" s="70"/>
      <c r="F8" s="70"/>
      <c r="G8" s="108"/>
      <c r="H8" s="71"/>
      <c r="I8" s="70"/>
      <c r="J8" s="70"/>
    </row>
    <row r="9" spans="1:10" ht="15" thickBot="1" x14ac:dyDescent="0.4">
      <c r="A9" s="20"/>
      <c r="B9" s="15"/>
      <c r="C9" s="7"/>
      <c r="D9" s="7"/>
      <c r="E9" s="70"/>
      <c r="F9" s="70"/>
      <c r="G9" s="108"/>
      <c r="H9" s="71"/>
      <c r="I9" s="70"/>
      <c r="J9" s="70"/>
    </row>
    <row r="10" spans="1:10" ht="15" thickBot="1" x14ac:dyDescent="0.4">
      <c r="A10" s="21"/>
      <c r="B10" s="16"/>
      <c r="C10" s="10"/>
      <c r="D10" s="10"/>
      <c r="E10" s="72"/>
      <c r="F10" s="72"/>
      <c r="G10" s="109"/>
      <c r="H10" s="73"/>
      <c r="I10" s="72"/>
      <c r="J10" s="72"/>
    </row>
    <row r="11" spans="1:10" ht="15" thickBot="1" x14ac:dyDescent="0.4">
      <c r="E11" s="74"/>
      <c r="F11" s="74"/>
      <c r="G11" s="110"/>
      <c r="H11" s="74"/>
      <c r="I11" s="74"/>
      <c r="J11" s="74"/>
    </row>
    <row r="12" spans="1:10" ht="38.25" customHeight="1" thickTop="1" thickBot="1" x14ac:dyDescent="0.4">
      <c r="A12" s="22" t="s">
        <v>3</v>
      </c>
      <c r="B12" s="22" t="s">
        <v>12</v>
      </c>
      <c r="C12" s="27" t="s">
        <v>19</v>
      </c>
      <c r="D12" s="27" t="s">
        <v>14</v>
      </c>
      <c r="E12" s="81" t="s">
        <v>9</v>
      </c>
      <c r="F12" s="81" t="s">
        <v>10</v>
      </c>
      <c r="G12" s="111" t="s">
        <v>1</v>
      </c>
      <c r="H12" s="81" t="s">
        <v>11</v>
      </c>
      <c r="I12" s="82" t="s">
        <v>17</v>
      </c>
      <c r="J12" s="81" t="s">
        <v>18</v>
      </c>
    </row>
    <row r="13" spans="1:10" ht="15.5" thickTop="1" thickBot="1" x14ac:dyDescent="0.4">
      <c r="A13" s="26" t="s">
        <v>4</v>
      </c>
      <c r="B13" s="25"/>
      <c r="C13" s="23"/>
      <c r="D13" s="23"/>
      <c r="E13" s="66"/>
      <c r="F13" s="67"/>
      <c r="G13" s="112"/>
      <c r="H13" s="67"/>
      <c r="I13" s="66"/>
      <c r="J13" s="66"/>
    </row>
    <row r="14" spans="1:10" ht="15" thickBot="1" x14ac:dyDescent="0.4">
      <c r="A14" s="19" t="s">
        <v>29</v>
      </c>
      <c r="B14" s="14">
        <v>63</v>
      </c>
      <c r="C14" s="5">
        <f>(B4*C4+B5*C5)/B14</f>
        <v>177.71428571428572</v>
      </c>
      <c r="D14" s="6">
        <f>SUM(D4:D5)</f>
        <v>2653</v>
      </c>
      <c r="E14" s="68">
        <f>(D5*E5+D4*E4)/D14</f>
        <v>985.62064153788162</v>
      </c>
      <c r="F14" s="68">
        <v>3805.65</v>
      </c>
      <c r="G14" s="107">
        <v>2.8000000000000001E-2</v>
      </c>
      <c r="H14" s="69">
        <v>1.7963199999999999</v>
      </c>
      <c r="I14" s="68">
        <v>4626.58</v>
      </c>
      <c r="J14" s="68">
        <v>9.86477</v>
      </c>
    </row>
    <row r="15" spans="1:10" ht="15" thickBot="1" x14ac:dyDescent="0.4">
      <c r="A15" s="20" t="s">
        <v>31</v>
      </c>
      <c r="B15" s="15"/>
      <c r="C15" s="8"/>
      <c r="D15" s="7"/>
      <c r="E15" s="7"/>
      <c r="F15" s="7"/>
      <c r="G15" s="108"/>
      <c r="H15" s="8"/>
      <c r="I15" s="7"/>
      <c r="J15" s="7"/>
    </row>
    <row r="16" spans="1:10" ht="15" thickBot="1" x14ac:dyDescent="0.4">
      <c r="A16" s="21" t="s">
        <v>30</v>
      </c>
      <c r="B16" s="16"/>
      <c r="C16" s="11"/>
      <c r="D16" s="10"/>
      <c r="E16" s="10"/>
      <c r="F16" s="10"/>
      <c r="G16" s="12"/>
      <c r="H16" s="11"/>
      <c r="I16" s="10"/>
      <c r="J16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4" sqref="G4:G14"/>
    </sheetView>
  </sheetViews>
  <sheetFormatPr baseColWidth="10" defaultColWidth="11.453125" defaultRowHeight="14.5" x14ac:dyDescent="0.35"/>
  <cols>
    <col min="1" max="1" width="27.7265625" style="2" customWidth="1"/>
    <col min="2" max="2" width="11" style="2" customWidth="1"/>
    <col min="3" max="3" width="12" style="2" customWidth="1"/>
    <col min="4" max="4" width="20.453125" style="2" customWidth="1"/>
    <col min="5" max="5" width="20.26953125" style="2" customWidth="1"/>
    <col min="6" max="6" width="22.453125" style="2" customWidth="1"/>
    <col min="7" max="7" width="16.453125" style="2" customWidth="1"/>
    <col min="8" max="8" width="17.7265625" style="2" customWidth="1"/>
    <col min="9" max="9" width="26.7265625" style="2" customWidth="1"/>
    <col min="10" max="10" width="18.54296875" style="2" customWidth="1"/>
    <col min="11" max="16384" width="11.453125" style="2"/>
  </cols>
  <sheetData>
    <row r="1" spans="1:10" ht="15.5" thickTop="1" thickBot="1" x14ac:dyDescent="0.4">
      <c r="A1" s="1" t="s">
        <v>8</v>
      </c>
      <c r="B1" s="28">
        <v>80.400000000000006</v>
      </c>
      <c r="C1" s="29"/>
    </row>
    <row r="2" spans="1:10" ht="15.5" thickTop="1" thickBot="1" x14ac:dyDescent="0.4"/>
    <row r="3" spans="1:10" ht="15.5" thickTop="1" thickBot="1" x14ac:dyDescent="0.4">
      <c r="A3" s="22" t="s">
        <v>2</v>
      </c>
      <c r="B3" s="22" t="s">
        <v>12</v>
      </c>
      <c r="C3" s="22" t="s">
        <v>0</v>
      </c>
      <c r="D3" s="22" t="s">
        <v>13</v>
      </c>
      <c r="E3" s="22" t="s">
        <v>9</v>
      </c>
      <c r="F3" s="22" t="s">
        <v>10</v>
      </c>
      <c r="G3" s="22" t="s">
        <v>1</v>
      </c>
      <c r="H3" s="22" t="s">
        <v>11</v>
      </c>
      <c r="I3" s="22" t="s">
        <v>15</v>
      </c>
      <c r="J3" s="22" t="s">
        <v>16</v>
      </c>
    </row>
    <row r="4" spans="1:10" ht="15.5" thickTop="1" thickBot="1" x14ac:dyDescent="0.4">
      <c r="A4" s="17" t="s">
        <v>40</v>
      </c>
      <c r="B4" s="13">
        <v>5</v>
      </c>
      <c r="C4" s="3">
        <v>144</v>
      </c>
      <c r="D4" s="3">
        <f>168-2</f>
        <v>166</v>
      </c>
      <c r="E4" s="79">
        <f>141634.505/D4</f>
        <v>853.21990963855421</v>
      </c>
      <c r="F4" s="80">
        <v>3295.61</v>
      </c>
      <c r="G4" s="106">
        <f>F4*100/(E4*C4*B1)</f>
        <v>3.3362323569076598E-2</v>
      </c>
      <c r="H4" s="80">
        <v>1.6464000000000001</v>
      </c>
      <c r="I4" s="79">
        <v>273.28500000000003</v>
      </c>
      <c r="J4" s="79">
        <f>I4/(7*B4)</f>
        <v>7.8081428571428582</v>
      </c>
    </row>
    <row r="5" spans="1:10" ht="15" thickBot="1" x14ac:dyDescent="0.4">
      <c r="A5" s="18" t="s">
        <v>34</v>
      </c>
      <c r="B5" s="13">
        <v>84</v>
      </c>
      <c r="C5" s="3">
        <v>180</v>
      </c>
      <c r="D5" s="4">
        <f>3392-168+1</f>
        <v>3225</v>
      </c>
      <c r="E5" s="79">
        <f>3370059.99/D5</f>
        <v>1044.9798418604653</v>
      </c>
      <c r="F5" s="79">
        <v>4021.3690000000001</v>
      </c>
      <c r="G5" s="106">
        <f>F5*100/(E5*C5*B1)</f>
        <v>2.659117076796353E-2</v>
      </c>
      <c r="H5" s="80">
        <v>1.88</v>
      </c>
      <c r="I5" s="79">
        <v>6062.93</v>
      </c>
      <c r="J5" s="79">
        <f>I5/(B5*7)</f>
        <v>10.311105442176871</v>
      </c>
    </row>
    <row r="6" spans="1:10" ht="15" thickBot="1" x14ac:dyDescent="0.4">
      <c r="A6" s="19" t="s">
        <v>38</v>
      </c>
      <c r="B6" s="14">
        <v>1</v>
      </c>
      <c r="C6" s="5">
        <v>167</v>
      </c>
      <c r="D6" s="6">
        <v>14</v>
      </c>
      <c r="E6" s="68">
        <f>9996.5386/D6</f>
        <v>714.03847142857137</v>
      </c>
      <c r="F6" s="68">
        <v>985.24800000000005</v>
      </c>
      <c r="G6" s="107">
        <f>F6*100/(E6*C6*B1)</f>
        <v>1.0276646800135698E-2</v>
      </c>
      <c r="H6" s="69">
        <v>0.54833299999999996</v>
      </c>
      <c r="I6" s="68">
        <v>7.7666000000000004</v>
      </c>
      <c r="J6" s="68">
        <v>1.0966</v>
      </c>
    </row>
    <row r="7" spans="1:10" ht="15" thickBot="1" x14ac:dyDescent="0.4">
      <c r="A7" s="19"/>
      <c r="B7" s="14"/>
      <c r="C7" s="5"/>
      <c r="D7" s="6"/>
      <c r="E7" s="68"/>
      <c r="F7" s="68"/>
      <c r="G7" s="107"/>
      <c r="H7" s="69"/>
      <c r="I7" s="68"/>
      <c r="J7" s="68"/>
    </row>
    <row r="8" spans="1:10" ht="15" thickBot="1" x14ac:dyDescent="0.4">
      <c r="A8" s="20"/>
      <c r="B8" s="15"/>
      <c r="C8" s="7"/>
      <c r="D8" s="7"/>
      <c r="E8" s="70"/>
      <c r="F8" s="70"/>
      <c r="G8" s="108"/>
      <c r="H8" s="71"/>
      <c r="I8" s="70"/>
      <c r="J8" s="70"/>
    </row>
    <row r="9" spans="1:10" ht="15" thickBot="1" x14ac:dyDescent="0.4">
      <c r="A9" s="20"/>
      <c r="B9" s="15"/>
      <c r="C9" s="7"/>
      <c r="D9" s="7"/>
      <c r="E9" s="70"/>
      <c r="F9" s="70"/>
      <c r="G9" s="108"/>
      <c r="H9" s="71"/>
      <c r="I9" s="70"/>
      <c r="J9" s="70"/>
    </row>
    <row r="10" spans="1:10" ht="15" thickBot="1" x14ac:dyDescent="0.4">
      <c r="A10" s="21"/>
      <c r="B10" s="16"/>
      <c r="C10" s="10"/>
      <c r="D10" s="10"/>
      <c r="E10" s="72"/>
      <c r="F10" s="72"/>
      <c r="G10" s="109"/>
      <c r="H10" s="73"/>
      <c r="I10" s="72"/>
      <c r="J10" s="72"/>
    </row>
    <row r="11" spans="1:10" ht="15" thickBot="1" x14ac:dyDescent="0.4">
      <c r="E11" s="74"/>
      <c r="F11" s="74"/>
      <c r="G11" s="110"/>
      <c r="H11" s="74"/>
      <c r="I11" s="74"/>
      <c r="J11" s="74"/>
    </row>
    <row r="12" spans="1:10" ht="38.25" customHeight="1" thickTop="1" thickBot="1" x14ac:dyDescent="0.4">
      <c r="A12" s="22" t="s">
        <v>3</v>
      </c>
      <c r="B12" s="22" t="s">
        <v>12</v>
      </c>
      <c r="C12" s="27" t="s">
        <v>19</v>
      </c>
      <c r="D12" s="27" t="s">
        <v>14</v>
      </c>
      <c r="E12" s="81" t="s">
        <v>9</v>
      </c>
      <c r="F12" s="81" t="s">
        <v>10</v>
      </c>
      <c r="G12" s="111" t="s">
        <v>1</v>
      </c>
      <c r="H12" s="81" t="s">
        <v>11</v>
      </c>
      <c r="I12" s="82" t="s">
        <v>17</v>
      </c>
      <c r="J12" s="81" t="s">
        <v>18</v>
      </c>
    </row>
    <row r="13" spans="1:10" ht="15.5" thickTop="1" thickBot="1" x14ac:dyDescent="0.4">
      <c r="A13" s="26" t="s">
        <v>4</v>
      </c>
      <c r="B13" s="25"/>
      <c r="C13" s="23"/>
      <c r="D13" s="23"/>
      <c r="E13" s="66"/>
      <c r="F13" s="67"/>
      <c r="G13" s="112"/>
      <c r="H13" s="67"/>
      <c r="I13" s="66"/>
      <c r="J13" s="66"/>
    </row>
    <row r="14" spans="1:10" ht="15" thickBot="1" x14ac:dyDescent="0.4">
      <c r="A14" s="19" t="s">
        <v>29</v>
      </c>
      <c r="B14" s="14">
        <f>B4+B5+B6</f>
        <v>90</v>
      </c>
      <c r="C14" s="5">
        <f>(B4*C4+B5*C5+B6*C6)/B14</f>
        <v>177.85555555555555</v>
      </c>
      <c r="D14" s="6">
        <f>SUM(D4:D6)</f>
        <v>3405</v>
      </c>
      <c r="E14" s="68">
        <f>(D5*E5+D4*E4+D6*E6)/D14</f>
        <v>1034.2704944493394</v>
      </c>
      <c r="F14" s="68">
        <v>4006.3552</v>
      </c>
      <c r="G14" s="107">
        <v>2.7E-2</v>
      </c>
      <c r="H14" s="69">
        <v>1.8494999999999999</v>
      </c>
      <c r="I14" s="68">
        <v>6343.6850000000004</v>
      </c>
      <c r="J14" s="68">
        <f>I14/(7*B14)</f>
        <v>10.069341269841271</v>
      </c>
    </row>
    <row r="15" spans="1:10" ht="15" thickBot="1" x14ac:dyDescent="0.4">
      <c r="A15" s="20" t="s">
        <v>31</v>
      </c>
      <c r="B15" s="15"/>
      <c r="C15" s="8"/>
      <c r="D15" s="7"/>
      <c r="E15" s="7"/>
      <c r="F15" s="7"/>
      <c r="G15" s="9"/>
      <c r="H15" s="8"/>
      <c r="I15" s="7"/>
      <c r="J15" s="7"/>
    </row>
    <row r="16" spans="1:10" ht="15" thickBot="1" x14ac:dyDescent="0.4">
      <c r="A16" s="21" t="s">
        <v>30</v>
      </c>
      <c r="B16" s="16"/>
      <c r="C16" s="11"/>
      <c r="D16" s="10"/>
      <c r="E16" s="10"/>
      <c r="F16" s="10"/>
      <c r="G16" s="12"/>
      <c r="H16" s="11"/>
      <c r="I16" s="10"/>
      <c r="J16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4" sqref="G4:G16"/>
    </sheetView>
  </sheetViews>
  <sheetFormatPr baseColWidth="10" defaultColWidth="11.453125" defaultRowHeight="14.5" x14ac:dyDescent="0.35"/>
  <cols>
    <col min="1" max="1" width="27.7265625" style="2" customWidth="1"/>
    <col min="2" max="2" width="11" style="2" customWidth="1"/>
    <col min="3" max="3" width="12" style="2" customWidth="1"/>
    <col min="4" max="4" width="20.453125" style="2" customWidth="1"/>
    <col min="5" max="5" width="20.26953125" style="2" customWidth="1"/>
    <col min="6" max="6" width="22.453125" style="2" customWidth="1"/>
    <col min="7" max="7" width="16.453125" style="2" customWidth="1"/>
    <col min="8" max="8" width="17.7265625" style="2" customWidth="1"/>
    <col min="9" max="9" width="26.7265625" style="2" customWidth="1"/>
    <col min="10" max="10" width="18.54296875" style="2" customWidth="1"/>
    <col min="11" max="16384" width="11.453125" style="2"/>
  </cols>
  <sheetData>
    <row r="1" spans="1:10" ht="15.5" thickTop="1" thickBot="1" x14ac:dyDescent="0.4">
      <c r="A1" s="1" t="s">
        <v>8</v>
      </c>
      <c r="B1" s="28">
        <v>81.3</v>
      </c>
      <c r="C1" s="29"/>
    </row>
    <row r="2" spans="1:10" ht="15.5" thickTop="1" thickBot="1" x14ac:dyDescent="0.4"/>
    <row r="3" spans="1:10" ht="15.5" thickTop="1" thickBot="1" x14ac:dyDescent="0.4">
      <c r="A3" s="22" t="s">
        <v>2</v>
      </c>
      <c r="B3" s="22" t="s">
        <v>12</v>
      </c>
      <c r="C3" s="22" t="s">
        <v>0</v>
      </c>
      <c r="D3" s="22" t="s">
        <v>13</v>
      </c>
      <c r="E3" s="22" t="s">
        <v>9</v>
      </c>
      <c r="F3" s="22" t="s">
        <v>10</v>
      </c>
      <c r="G3" s="22" t="s">
        <v>1</v>
      </c>
      <c r="H3" s="22" t="s">
        <v>11</v>
      </c>
      <c r="I3" s="22" t="s">
        <v>15</v>
      </c>
      <c r="J3" s="22" t="s">
        <v>16</v>
      </c>
    </row>
    <row r="4" spans="1:10" ht="15.5" thickTop="1" thickBot="1" x14ac:dyDescent="0.4">
      <c r="A4" s="17" t="s">
        <v>40</v>
      </c>
      <c r="B4" s="13">
        <v>8</v>
      </c>
      <c r="C4" s="3">
        <v>144</v>
      </c>
      <c r="D4" s="3">
        <v>169</v>
      </c>
      <c r="E4" s="79">
        <f>143871.07/D4</f>
        <v>851.30810650887577</v>
      </c>
      <c r="F4" s="80">
        <v>3289.2579999999998</v>
      </c>
      <c r="G4" s="106">
        <f>F4*100/(E4*C4*B1)</f>
        <v>3.3003358199124005E-2</v>
      </c>
      <c r="H4" s="80">
        <v>1.6442000000000001</v>
      </c>
      <c r="I4" s="79">
        <v>277.87150000000003</v>
      </c>
      <c r="J4" s="79">
        <v>9.9238999999999997</v>
      </c>
    </row>
    <row r="5" spans="1:10" ht="15" thickBot="1" x14ac:dyDescent="0.4">
      <c r="A5" s="18" t="s">
        <v>34</v>
      </c>
      <c r="B5" s="13">
        <v>95</v>
      </c>
      <c r="C5" s="3">
        <v>180</v>
      </c>
      <c r="D5" s="4">
        <v>3892</v>
      </c>
      <c r="E5" s="79">
        <f>4023141.66/D5</f>
        <v>1033.6951849948614</v>
      </c>
      <c r="F5" s="79">
        <v>3989.8965199999998</v>
      </c>
      <c r="G5" s="106">
        <f>F5*100/(E5*C5*B1)</f>
        <v>2.6375827156878483E-2</v>
      </c>
      <c r="H5" s="80">
        <v>1.8665</v>
      </c>
      <c r="I5" s="79">
        <v>7264.51</v>
      </c>
      <c r="J5" s="79">
        <v>11.28</v>
      </c>
    </row>
    <row r="6" spans="1:10" ht="15" thickBot="1" x14ac:dyDescent="0.4">
      <c r="A6" s="19" t="s">
        <v>35</v>
      </c>
      <c r="B6" s="14">
        <v>1</v>
      </c>
      <c r="C6" s="5">
        <v>144</v>
      </c>
      <c r="D6" s="6">
        <v>17</v>
      </c>
      <c r="E6" s="68">
        <f>18643.5377/D6</f>
        <v>1096.6786882352942</v>
      </c>
      <c r="F6" s="68">
        <v>4579.58</v>
      </c>
      <c r="G6" s="107">
        <f>F6*100/(E6*C6*B1)</f>
        <v>3.5669186817744274E-2</v>
      </c>
      <c r="H6" s="69">
        <v>2.0150000000000001</v>
      </c>
      <c r="I6" s="68">
        <v>34.233600000000003</v>
      </c>
      <c r="J6" s="68">
        <v>4.8903999999999996</v>
      </c>
    </row>
    <row r="7" spans="1:10" ht="15" thickBot="1" x14ac:dyDescent="0.4">
      <c r="A7" s="19" t="s">
        <v>41</v>
      </c>
      <c r="B7" s="14">
        <v>5</v>
      </c>
      <c r="C7" s="5">
        <v>220</v>
      </c>
      <c r="D7" s="6">
        <v>0</v>
      </c>
      <c r="E7" s="68">
        <v>0</v>
      </c>
      <c r="F7" s="83">
        <v>0</v>
      </c>
      <c r="G7" s="113">
        <v>0</v>
      </c>
      <c r="H7" s="83">
        <v>0</v>
      </c>
      <c r="I7" s="83">
        <v>0</v>
      </c>
      <c r="J7" s="68">
        <v>0</v>
      </c>
    </row>
    <row r="8" spans="1:10" ht="15" thickBot="1" x14ac:dyDescent="0.4">
      <c r="A8" s="20"/>
      <c r="B8" s="15"/>
      <c r="C8" s="7"/>
      <c r="D8" s="7"/>
      <c r="E8" s="70"/>
      <c r="F8" s="70"/>
      <c r="G8" s="108"/>
      <c r="H8" s="71"/>
      <c r="I8" s="70"/>
      <c r="J8" s="70"/>
    </row>
    <row r="9" spans="1:10" ht="15" thickBot="1" x14ac:dyDescent="0.4">
      <c r="A9" s="20"/>
      <c r="B9" s="15"/>
      <c r="C9" s="7"/>
      <c r="D9" s="7"/>
      <c r="E9" s="70"/>
      <c r="F9" s="70"/>
      <c r="G9" s="108"/>
      <c r="H9" s="71"/>
      <c r="I9" s="70"/>
      <c r="J9" s="70"/>
    </row>
    <row r="10" spans="1:10" ht="15" thickBot="1" x14ac:dyDescent="0.4">
      <c r="A10" s="21"/>
      <c r="B10" s="16"/>
      <c r="C10" s="10"/>
      <c r="D10" s="10"/>
      <c r="E10" s="72"/>
      <c r="F10" s="72"/>
      <c r="G10" s="109"/>
      <c r="H10" s="73"/>
      <c r="I10" s="72"/>
      <c r="J10" s="72"/>
    </row>
    <row r="11" spans="1:10" ht="15" thickBot="1" x14ac:dyDescent="0.4">
      <c r="E11" s="74"/>
      <c r="F11" s="74"/>
      <c r="G11" s="110"/>
      <c r="H11" s="74"/>
      <c r="I11" s="74"/>
      <c r="J11" s="74"/>
    </row>
    <row r="12" spans="1:10" ht="38.25" customHeight="1" thickTop="1" thickBot="1" x14ac:dyDescent="0.4">
      <c r="A12" s="22" t="s">
        <v>3</v>
      </c>
      <c r="B12" s="22" t="s">
        <v>12</v>
      </c>
      <c r="C12" s="27" t="s">
        <v>19</v>
      </c>
      <c r="D12" s="27" t="s">
        <v>14</v>
      </c>
      <c r="E12" s="81" t="s">
        <v>9</v>
      </c>
      <c r="F12" s="81" t="s">
        <v>10</v>
      </c>
      <c r="G12" s="111" t="s">
        <v>1</v>
      </c>
      <c r="H12" s="81" t="s">
        <v>11</v>
      </c>
      <c r="I12" s="82" t="s">
        <v>17</v>
      </c>
      <c r="J12" s="81" t="s">
        <v>18</v>
      </c>
    </row>
    <row r="13" spans="1:10" ht="15.5" thickTop="1" thickBot="1" x14ac:dyDescent="0.4">
      <c r="A13" s="26" t="s">
        <v>4</v>
      </c>
      <c r="B13" s="25"/>
      <c r="C13" s="23"/>
      <c r="D13" s="23"/>
      <c r="E13" s="66"/>
      <c r="F13" s="67"/>
      <c r="G13" s="112"/>
      <c r="H13" s="67"/>
      <c r="I13" s="66"/>
      <c r="J13" s="66"/>
    </row>
    <row r="14" spans="1:10" ht="15" thickBot="1" x14ac:dyDescent="0.4">
      <c r="A14" s="19" t="s">
        <v>29</v>
      </c>
      <c r="B14" s="14">
        <f>B4+B5+B6+B7</f>
        <v>109</v>
      </c>
      <c r="C14" s="5">
        <f>(B4*C4+B5*C5+B6*C6+B7*C7)/(B14)</f>
        <v>178.86238532110093</v>
      </c>
      <c r="D14" s="6">
        <f>SUM(D4:D7)</f>
        <v>4078</v>
      </c>
      <c r="E14" s="68">
        <f>(E4*D4+E5*D5+E6*D6)/D14</f>
        <v>1026.3992809465426</v>
      </c>
      <c r="F14" s="68">
        <v>3978.2588000000001</v>
      </c>
      <c r="G14" s="107">
        <v>2.7E-2</v>
      </c>
      <c r="H14" s="69">
        <v>1.8533999999999999</v>
      </c>
      <c r="I14" s="68">
        <v>7576.58</v>
      </c>
      <c r="J14" s="68">
        <v>11.1782</v>
      </c>
    </row>
    <row r="15" spans="1:10" ht="15" thickBot="1" x14ac:dyDescent="0.4">
      <c r="A15" s="20" t="s">
        <v>31</v>
      </c>
      <c r="B15" s="15"/>
      <c r="C15" s="8"/>
      <c r="D15" s="7"/>
      <c r="E15" s="70"/>
      <c r="F15" s="70"/>
      <c r="G15" s="108"/>
      <c r="H15" s="8"/>
      <c r="I15" s="7"/>
      <c r="J15" s="7"/>
    </row>
    <row r="16" spans="1:10" ht="15" thickBot="1" x14ac:dyDescent="0.4">
      <c r="A16" s="21" t="s">
        <v>30</v>
      </c>
      <c r="B16" s="16"/>
      <c r="C16" s="11"/>
      <c r="D16" s="10"/>
      <c r="E16" s="10"/>
      <c r="F16" s="10"/>
      <c r="G16" s="109"/>
      <c r="H16" s="11"/>
      <c r="I16" s="10"/>
      <c r="J1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Informe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Flota total</vt:lpstr>
      <vt:lpstr>Eficiencia Media</vt:lpstr>
      <vt:lpstr>Etapa media</vt:lpstr>
      <vt:lpstr>Utilización Diaria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Cubas Cano</dc:creator>
  <cp:lastModifiedBy>Alumno</cp:lastModifiedBy>
  <dcterms:created xsi:type="dcterms:W3CDTF">2015-11-10T15:36:09Z</dcterms:created>
  <dcterms:modified xsi:type="dcterms:W3CDTF">2018-12-14T08:47:21Z</dcterms:modified>
</cp:coreProperties>
</file>